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autoCompressPictures="0" defaultThemeVersion="124226"/>
  <bookViews>
    <workbookView xWindow="6960" yWindow="-165" windowWidth="12240" windowHeight="12240" firstSheet="2" activeTab="4"/>
  </bookViews>
  <sheets>
    <sheet name="All campaign contributions" sheetId="2" r:id="rId1"/>
    <sheet name="Top Donors - Pharma and Device" sheetId="3" r:id="rId2"/>
    <sheet name="Top Donors - Biotech" sheetId="9" r:id="rId3"/>
    <sheet name="Lobbying - Pharma and Device" sheetId="1" r:id="rId4"/>
    <sheet name="Lobbying - Biotech" sheetId="7" r:id="rId5"/>
  </sheets>
  <definedNames>
    <definedName name="dbo_temp_request_ucs">'Lobbying - Pharma and Device'!$A$1:$D$333</definedName>
  </definedName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73" i="1" l="1"/>
  <c r="F17" i="1"/>
  <c r="F15" i="1"/>
  <c r="F13" i="1"/>
  <c r="J90" i="9" l="1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I7" i="9"/>
  <c r="J6" i="9"/>
  <c r="I6" i="9"/>
  <c r="J5" i="9"/>
  <c r="I5" i="9"/>
  <c r="J4" i="9"/>
  <c r="I4" i="9"/>
  <c r="J3" i="9"/>
  <c r="I3" i="9"/>
  <c r="J2" i="9"/>
  <c r="I2" i="9"/>
  <c r="N67" i="2"/>
  <c r="G15" i="2" l="1"/>
  <c r="G59" i="2"/>
  <c r="G60" i="2"/>
  <c r="G36" i="2"/>
  <c r="G35" i="2"/>
  <c r="G58" i="2"/>
  <c r="G18" i="2"/>
  <c r="G48" i="2"/>
  <c r="G94" i="2"/>
  <c r="G84" i="2"/>
  <c r="G128" i="2"/>
  <c r="G135" i="2"/>
  <c r="G132" i="2"/>
  <c r="G118" i="2"/>
  <c r="G53" i="2"/>
  <c r="G56" i="2"/>
  <c r="G44" i="2"/>
  <c r="G49" i="2"/>
  <c r="G4" i="2"/>
  <c r="G22" i="2"/>
  <c r="G38" i="2"/>
  <c r="G23" i="2"/>
  <c r="G85" i="2"/>
  <c r="G108" i="2"/>
  <c r="G140" i="2"/>
  <c r="G149" i="2"/>
  <c r="G101" i="2"/>
  <c r="G123" i="2"/>
  <c r="G131" i="2"/>
  <c r="G122" i="2"/>
  <c r="G86" i="2"/>
  <c r="G89" i="2"/>
  <c r="G121" i="2"/>
  <c r="G130" i="2"/>
  <c r="G158" i="2"/>
  <c r="G25" i="2"/>
  <c r="G41" i="2"/>
  <c r="G27" i="2"/>
  <c r="G2" i="2"/>
  <c r="G12" i="2"/>
  <c r="G9" i="2"/>
  <c r="G26" i="2"/>
  <c r="G24" i="2"/>
  <c r="G10" i="2"/>
  <c r="G8" i="2"/>
  <c r="G6" i="2"/>
  <c r="G28" i="2"/>
  <c r="G33" i="2"/>
  <c r="G46" i="2"/>
  <c r="G16" i="2"/>
  <c r="G20" i="2"/>
  <c r="G40" i="2"/>
  <c r="G14" i="2"/>
  <c r="G21" i="2"/>
  <c r="G114" i="2"/>
  <c r="G119" i="2"/>
  <c r="G90" i="2"/>
  <c r="G76" i="2"/>
  <c r="G96" i="2"/>
  <c r="G97" i="2"/>
  <c r="G75" i="2"/>
  <c r="G107" i="2"/>
  <c r="G105" i="2"/>
  <c r="G81" i="2"/>
  <c r="G148" i="2"/>
  <c r="G79" i="2"/>
  <c r="G120" i="2"/>
  <c r="G111" i="2"/>
  <c r="G102" i="2"/>
  <c r="G99" i="2"/>
  <c r="G113" i="2"/>
  <c r="G91" i="2"/>
  <c r="G80" i="2"/>
  <c r="G104" i="2"/>
  <c r="G106" i="2"/>
  <c r="G17" i="2"/>
  <c r="G31" i="2"/>
  <c r="G43" i="2"/>
  <c r="G37" i="2"/>
  <c r="G7" i="2"/>
  <c r="G5" i="2"/>
  <c r="G19" i="2"/>
  <c r="G11" i="2"/>
  <c r="G34" i="2"/>
  <c r="G47" i="2"/>
  <c r="G54" i="2"/>
  <c r="G45" i="2"/>
  <c r="G78" i="2"/>
  <c r="G82" i="2"/>
  <c r="G139" i="2"/>
  <c r="G103" i="2"/>
  <c r="G83" i="2"/>
  <c r="G145" i="2"/>
  <c r="G95" i="2"/>
  <c r="G100" i="2"/>
  <c r="G93" i="2"/>
  <c r="G98" i="2"/>
  <c r="G115" i="2"/>
  <c r="G88" i="2"/>
  <c r="G127" i="2"/>
  <c r="G87" i="2"/>
  <c r="G117" i="2"/>
  <c r="G134" i="2"/>
  <c r="G77" i="2"/>
  <c r="G129" i="2"/>
  <c r="G92" i="2"/>
  <c r="G110" i="2"/>
  <c r="G112" i="2"/>
  <c r="G116" i="2"/>
  <c r="G109" i="2"/>
  <c r="G137" i="2"/>
  <c r="D153" i="7" l="1"/>
  <c r="C153" i="7"/>
  <c r="B155" i="7" s="1"/>
  <c r="B153" i="7"/>
  <c r="E335" i="1" l="1"/>
  <c r="F177" i="1"/>
  <c r="F175" i="1"/>
  <c r="F180" i="1" s="1"/>
  <c r="F20" i="1" l="1"/>
  <c r="D335" i="1" l="1"/>
  <c r="C335" i="1"/>
  <c r="L83" i="2"/>
  <c r="L81" i="2"/>
  <c r="L79" i="2"/>
  <c r="L77" i="2"/>
  <c r="L75" i="2"/>
  <c r="L73" i="2"/>
  <c r="L71" i="2"/>
  <c r="L69" i="2"/>
  <c r="L67" i="2"/>
  <c r="L65" i="2"/>
  <c r="L63" i="2"/>
  <c r="L61" i="2"/>
  <c r="L59" i="2"/>
  <c r="L57" i="2"/>
  <c r="L32" i="2"/>
  <c r="L30" i="2"/>
  <c r="N61" i="2" s="1"/>
  <c r="L28" i="2"/>
  <c r="L26" i="2"/>
  <c r="N57" i="2" s="1"/>
  <c r="L24" i="2"/>
  <c r="N55" i="2" s="1"/>
  <c r="L22" i="2"/>
  <c r="L20" i="2"/>
  <c r="N51" i="2" s="1"/>
  <c r="L18" i="2"/>
  <c r="L16" i="2"/>
  <c r="N47" i="2" s="1"/>
  <c r="L14" i="2"/>
  <c r="L12" i="2"/>
  <c r="N43" i="2" s="1"/>
  <c r="L10" i="2"/>
  <c r="N41" i="2" s="1"/>
  <c r="L8" i="2"/>
  <c r="N39" i="2" s="1"/>
  <c r="L6" i="2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J2" i="3"/>
  <c r="I2" i="3"/>
  <c r="N37" i="2" l="1"/>
  <c r="N63" i="2"/>
  <c r="N45" i="2"/>
  <c r="N49" i="2"/>
  <c r="N53" i="2"/>
  <c r="N59" i="2"/>
</calcChain>
</file>

<file path=xl/sharedStrings.xml><?xml version="1.0" encoding="utf-8"?>
<sst xmlns="http://schemas.openxmlformats.org/spreadsheetml/2006/main" count="1921" uniqueCount="707">
  <si>
    <t>Alexion Pharmaceuticals</t>
  </si>
  <si>
    <t>Alkermes Inc</t>
  </si>
  <si>
    <t>Allergan Inc</t>
  </si>
  <si>
    <t>Alnylam Pharmaceuticals</t>
  </si>
  <si>
    <t>Alpharma Inc</t>
  </si>
  <si>
    <t>America's Specialty Medicine Companies</t>
  </si>
  <si>
    <t>American Medical Systems</t>
  </si>
  <si>
    <t>American Orthotic &amp; Prosthetic Assn</t>
  </si>
  <si>
    <t>Amgen Inc</t>
  </si>
  <si>
    <t>Amphastar Pharmaceuticals</t>
  </si>
  <si>
    <t>Amylin Pharmaceuticals</t>
  </si>
  <si>
    <t>Amyris Biotech</t>
  </si>
  <si>
    <t>Analiza Dx</t>
  </si>
  <si>
    <t>Analogic Corp</t>
  </si>
  <si>
    <t>Angiodynamics Inc</t>
  </si>
  <si>
    <t>Anzenna Inc</t>
  </si>
  <si>
    <t>Apotex Inc</t>
  </si>
  <si>
    <t>APP Pharmaceuticals</t>
  </si>
  <si>
    <t>ARCA Biopharma</t>
  </si>
  <si>
    <t>Arsenal Medical</t>
  </si>
  <si>
    <t>Arteriocyte Inc</t>
  </si>
  <si>
    <t>Aspect Medical Systems</t>
  </si>
  <si>
    <t>Assn of Clinical Research Organizations</t>
  </si>
  <si>
    <t>Astellas Pharma USA</t>
  </si>
  <si>
    <t>Astellas US Technologies</t>
  </si>
  <si>
    <t>AstraZeneca Pharmaceuticals</t>
  </si>
  <si>
    <t>Aurora Imaging Technology</t>
  </si>
  <si>
    <t>Avantis Medical Systems</t>
  </si>
  <si>
    <t>Azevan Pharmaceuticals</t>
  </si>
  <si>
    <t>Barr Laboratories</t>
  </si>
  <si>
    <t>Bavarian Nordic</t>
  </si>
  <si>
    <t>Baxter Healthcare</t>
  </si>
  <si>
    <t>Bayer Corp</t>
  </si>
  <si>
    <t>Becton, Dickinson &amp; Co</t>
  </si>
  <si>
    <t>Biocryst Pharmaceuticals</t>
  </si>
  <si>
    <t>Bioject Medical Technologies</t>
  </si>
  <si>
    <t>Biomedical Systems</t>
  </si>
  <si>
    <t>Biomet Inc</t>
  </si>
  <si>
    <t>Bioness Inc</t>
  </si>
  <si>
    <t>Bioniche Life Sciences</t>
  </si>
  <si>
    <t>Bioquiddity Inc</t>
  </si>
  <si>
    <t>Blood Cell Storage Inc</t>
  </si>
  <si>
    <t>Body Media</t>
  </si>
  <si>
    <t>Boehringer Ingelheim Corp</t>
  </si>
  <si>
    <t>Boston Scientific Corp</t>
  </si>
  <si>
    <t>Bracco Diagnostics</t>
  </si>
  <si>
    <t>111th and 112th Cycle Totals</t>
    <phoneticPr fontId="4" type="noConversion"/>
  </si>
  <si>
    <t>Total Contributions to House Energy and Commerce for 111th and 112th Congress</t>
    <phoneticPr fontId="4" type="noConversion"/>
  </si>
  <si>
    <t>CyberKnife Coalition</t>
  </si>
  <si>
    <t>Cyberonics Inc</t>
  </si>
  <si>
    <t>Daiichi Sankyo Inc</t>
  </si>
  <si>
    <t>Dey LP</t>
  </si>
  <si>
    <t>DFB Pharmaceuticals</t>
  </si>
  <si>
    <t>Diffusion Pharmaceuticals</t>
  </si>
  <si>
    <t>Dispensing Solutions</t>
  </si>
  <si>
    <t>Djo Inc</t>
  </si>
  <si>
    <t>Doctor Diabetic Supply</t>
  </si>
  <si>
    <t>Dr Erich Hugo Cerny</t>
  </si>
  <si>
    <t>E-Z-EM Inc</t>
  </si>
  <si>
    <t>Edwards Lifesciences</t>
  </si>
  <si>
    <t>Eisai Inc</t>
  </si>
  <si>
    <t>Electro Medical Systems</t>
  </si>
  <si>
    <t>Eli Lilly &amp; Co</t>
  </si>
  <si>
    <t>Endo Pharmaceuticals</t>
  </si>
  <si>
    <t>Endocare Inc</t>
  </si>
  <si>
    <t>Ension Inc</t>
  </si>
  <si>
    <t>Enterix</t>
  </si>
  <si>
    <t>Enteron Therapeutics</t>
  </si>
  <si>
    <t>Estill Medical Technologies</t>
  </si>
  <si>
    <t>Finasi SPA</t>
  </si>
  <si>
    <t>Foligo Therapeutics</t>
  </si>
  <si>
    <t>Forest Laboratories</t>
  </si>
  <si>
    <t>Fujirebio Diagnostics Inc</t>
  </si>
  <si>
    <t>Fuller Rehab Independent Living Aids</t>
  </si>
  <si>
    <t>Gambro</t>
  </si>
  <si>
    <t>General Electric Healthcare</t>
  </si>
  <si>
    <t>Generic Pharmaceutical Industry Assn</t>
  </si>
  <si>
    <t>Genesoft Inc</t>
  </si>
  <si>
    <t>GlaxoSmithKline</t>
  </si>
  <si>
    <t>Gordian Medical Inc</t>
  </si>
  <si>
    <t>Graceway Pharmaceuticals</t>
  </si>
  <si>
    <t>Healthpoint Ltd</t>
  </si>
  <si>
    <t>HealthStar</t>
  </si>
  <si>
    <t>Hearing Industries Assn</t>
  </si>
  <si>
    <t>Hematech Inc</t>
  </si>
  <si>
    <t>HemCon Medical Technologies</t>
  </si>
  <si>
    <t>Henry Schein Inc</t>
  </si>
  <si>
    <t>Hill Dermaceuticals</t>
  </si>
  <si>
    <t>Hill Rom Co</t>
  </si>
  <si>
    <t>Hill-Rom Holdings</t>
  </si>
  <si>
    <t>Hoana Medical</t>
  </si>
  <si>
    <t>Hoffmann-La Roche</t>
  </si>
  <si>
    <t>Hologic Inc</t>
  </si>
  <si>
    <t>Industry</t>
  </si>
  <si>
    <t>2009</t>
  </si>
  <si>
    <t>2010</t>
  </si>
  <si>
    <t>3-V Biosciences</t>
  </si>
  <si>
    <t>Abbott Diabetes Care</t>
  </si>
  <si>
    <t>Abbott Laboratories</t>
  </si>
  <si>
    <t>Abbott Nutrition</t>
  </si>
  <si>
    <t>Acambis Inc</t>
  </si>
  <si>
    <t>Accredited Medical Equip Providers</t>
  </si>
  <si>
    <t>Accudial Pharmaceutical</t>
  </si>
  <si>
    <t>Accuray Inc</t>
  </si>
  <si>
    <t>Acorda Therapeutics</t>
  </si>
  <si>
    <t>Actavis Inc</t>
  </si>
  <si>
    <t>Actinium Pharmaceuticals</t>
  </si>
  <si>
    <t>Active Life Technologies</t>
  </si>
  <si>
    <t>Adamas Pharmaceuticals</t>
  </si>
  <si>
    <t>Adroit Medical Systems</t>
  </si>
  <si>
    <t>Advanced Analytical</t>
  </si>
  <si>
    <t>Advanced Diabetes Supply</t>
  </si>
  <si>
    <t>Advanced Endoscopy Devices</t>
  </si>
  <si>
    <t>Advanced Life Sciences</t>
  </si>
  <si>
    <t>Advanced Medical Technology Assn</t>
  </si>
  <si>
    <t>Aethlon Medical</t>
  </si>
  <si>
    <t>Aethon Inc</t>
  </si>
  <si>
    <t>Agios Pharmaceuticals</t>
  </si>
  <si>
    <t>Akers Biosciences</t>
  </si>
  <si>
    <t>Akorn</t>
  </si>
  <si>
    <t>Alere Inc</t>
  </si>
  <si>
    <t>Martek Biosciences</t>
  </si>
  <si>
    <t>Masimo Corp</t>
  </si>
  <si>
    <t>McNeil Consumer Healthcare</t>
  </si>
  <si>
    <t>Meda Pharmaceuticals</t>
  </si>
  <si>
    <t>Medical Device Competitiveness Coalition</t>
  </si>
  <si>
    <t>Medical Device Manufacturers Assn</t>
  </si>
  <si>
    <t>Medical Imaging Contrast Agent Assn</t>
  </si>
  <si>
    <t>Medicines Co</t>
  </si>
  <si>
    <t>Medicis Pharmaceutical Corp</t>
  </si>
  <si>
    <t>Medimmune Inc</t>
  </si>
  <si>
    <t>MedNet Healthcare Technologies</t>
  </si>
  <si>
    <t>Medrad Inc</t>
  </si>
  <si>
    <t>Medtronic Inc</t>
  </si>
  <si>
    <t>Mentor Corp</t>
  </si>
  <si>
    <t>Merck &amp; Co</t>
  </si>
  <si>
    <t>Merit Medical Systems</t>
  </si>
  <si>
    <t>Mgi Pharma</t>
  </si>
  <si>
    <t>Millennium Laboratories</t>
  </si>
  <si>
    <t>Millennium Pharmaceuticals</t>
  </si>
  <si>
    <t>Millennium/Takeda Oncology Co</t>
  </si>
  <si>
    <t>Mind Institute</t>
  </si>
  <si>
    <t>Minnesota Thermal Science</t>
  </si>
  <si>
    <t>Mobilex USA</t>
  </si>
  <si>
    <t>Molecular Insight Pharmaceuticals</t>
  </si>
  <si>
    <t>Molnlycke Health Care</t>
  </si>
  <si>
    <t>Momenta Pharmaceuticals</t>
  </si>
  <si>
    <t>Morton Grove Pharmaceuticals Inc</t>
  </si>
  <si>
    <t>MultiDimensional Imaging</t>
  </si>
  <si>
    <t>Mylan Inc</t>
  </si>
  <si>
    <t>Mylan Laboratories</t>
  </si>
  <si>
    <t>Mylan Pharmaceuticals</t>
  </si>
  <si>
    <t>Mystic Pharmaceuticals</t>
  </si>
  <si>
    <t>Nanotherapeutics Inc</t>
  </si>
  <si>
    <t>National Alliance for Infusion Therapy</t>
  </si>
  <si>
    <t>National Center for Genome Resources</t>
  </si>
  <si>
    <t>National Disease Research Interchange</t>
  </si>
  <si>
    <t>Natl Assn Adv of Orthotics &amp; Prosthetics</t>
  </si>
  <si>
    <t>Natl Coalition For Assistive/Rehab Tech</t>
  </si>
  <si>
    <t>Brain Cells Inc</t>
  </si>
  <si>
    <t>Breckenridge Pharmaceutical</t>
  </si>
  <si>
    <t>Bristol-Myers Squibb</t>
  </si>
  <si>
    <t>C-Path Institute</t>
  </si>
  <si>
    <t>Calypso Medical Technologies</t>
  </si>
  <si>
    <t>Canada International Pharmacy Assn</t>
  </si>
  <si>
    <t>CardioNet</t>
  </si>
  <si>
    <t>CareFusion</t>
  </si>
  <si>
    <t>CCS Medical</t>
  </si>
  <si>
    <t>Celgene Corp</t>
  </si>
  <si>
    <t>Cempra Pharmaceuticals</t>
  </si>
  <si>
    <t>Centurion Medical Products</t>
  </si>
  <si>
    <t>Cephalon Inc</t>
  </si>
  <si>
    <t>Charlesson LLC</t>
  </si>
  <si>
    <t>Chimerix</t>
  </si>
  <si>
    <t>Classic Optical Laboratories</t>
  </si>
  <si>
    <t>Clinical Data Inc</t>
  </si>
  <si>
    <t>Cltn for Competitive Pharma Marketing</t>
  </si>
  <si>
    <t>CNS Vital Signs</t>
  </si>
  <si>
    <t>Cochlear Corp</t>
  </si>
  <si>
    <t>CoDa Therapeutics</t>
  </si>
  <si>
    <t>Coloplast Corp</t>
  </si>
  <si>
    <t>Conceptus Inc</t>
  </si>
  <si>
    <t>Concert Pharmaceuticals</t>
  </si>
  <si>
    <t>Constellation Technology</t>
  </si>
  <si>
    <t>Consumer Healthcare Products Assn</t>
  </si>
  <si>
    <t>Cook Group</t>
  </si>
  <si>
    <t>Council on Radionuclides &amp; Radiopharm</t>
  </si>
  <si>
    <t>CR Bard Inc</t>
  </si>
  <si>
    <t>Cubist Pharmaceuticals</t>
  </si>
  <si>
    <t>Pharmaceutical Rsrch &amp; Mfrs of America</t>
  </si>
  <si>
    <t>PharMerica Corp</t>
  </si>
  <si>
    <t>Philips Medical Systems</t>
  </si>
  <si>
    <t>Power Mobility Coalition</t>
  </si>
  <si>
    <t>Prasco Labs</t>
  </si>
  <si>
    <t>Pride Mobility Products</t>
  </si>
  <si>
    <t>PrimeraDx</t>
  </si>
  <si>
    <t>Primus Pharmaceuticals</t>
  </si>
  <si>
    <t>Prostrakan Inc</t>
  </si>
  <si>
    <t>Pulmatrix Corp</t>
  </si>
  <si>
    <t>Purdue Pharma</t>
  </si>
  <si>
    <t>Pyng Medical</t>
  </si>
  <si>
    <t>Questcor Pharmaceuticals</t>
  </si>
  <si>
    <t>Ranbaxy Inc</t>
  </si>
  <si>
    <t>Redfield Corp</t>
  </si>
  <si>
    <t>ResMed Inc</t>
  </si>
  <si>
    <t>Respironics Inc</t>
  </si>
  <si>
    <t>Resurgent Health &amp; Medical</t>
  </si>
  <si>
    <t>Retractable Technologies</t>
  </si>
  <si>
    <t>Riverain Medical</t>
  </si>
  <si>
    <t>Roche Diagnostics</t>
  </si>
  <si>
    <t>Roche Holdings</t>
  </si>
  <si>
    <t>S&amp;S Technology</t>
  </si>
  <si>
    <t>Salix Pharmaceuticals</t>
  </si>
  <si>
    <t>Sam Medical Products</t>
  </si>
  <si>
    <t>Sandoz</t>
  </si>
  <si>
    <t>Sanofi Pasteur</t>
  </si>
  <si>
    <t>Sanofi-Aventis</t>
  </si>
  <si>
    <t>sBioMed</t>
  </si>
  <si>
    <t>Schering-Plough Corp</t>
  </si>
  <si>
    <t>Scooter Store</t>
  </si>
  <si>
    <t>Semprus BioSciences</t>
  </si>
  <si>
    <t>Seniors Coalition</t>
  </si>
  <si>
    <t>Sepracor Inc</t>
  </si>
  <si>
    <t>Shire Pharmaceuticals</t>
  </si>
  <si>
    <t>SIGA Technologies</t>
  </si>
  <si>
    <t>Smith &amp; Nephew</t>
  </si>
  <si>
    <t>Solvay North America</t>
  </si>
  <si>
    <t>Solvay Pharmaceuticals</t>
  </si>
  <si>
    <t>Sonosite Inc</t>
  </si>
  <si>
    <t>Spiracur</t>
  </si>
  <si>
    <t>St Jude Medical</t>
  </si>
  <si>
    <t>Steris Corp</t>
  </si>
  <si>
    <t>Strativa Pharmaceuticals</t>
  </si>
  <si>
    <t>Stratus Pharmaceuticals</t>
  </si>
  <si>
    <t>Stryker Corp</t>
  </si>
  <si>
    <t>Sun Pharmaceutical Industries</t>
  </si>
  <si>
    <t>Sunovion Pharmaceuticals</t>
  </si>
  <si>
    <t>Hospira Inc</t>
  </si>
  <si>
    <t>Hoveround Corp</t>
  </si>
  <si>
    <t>Humanetics Corp</t>
  </si>
  <si>
    <t>I-Flow Corp</t>
  </si>
  <si>
    <t>Ikor Inc</t>
  </si>
  <si>
    <t>Implicit Corp</t>
  </si>
  <si>
    <t>Independence Medical</t>
  </si>
  <si>
    <t>InfiMed</t>
  </si>
  <si>
    <t>Infinia Corp</t>
  </si>
  <si>
    <t>Insmed</t>
  </si>
  <si>
    <t>Integrated Medical Systems</t>
  </si>
  <si>
    <t>International Pharm Aerosol Consortium</t>
  </si>
  <si>
    <t>Intl Contrast Ultrasound Society</t>
  </si>
  <si>
    <t>Intuitive Surgical</t>
  </si>
  <si>
    <t>Invacare Corp</t>
  </si>
  <si>
    <t>Inverness Medical Innovations</t>
  </si>
  <si>
    <t>iPierian Inc</t>
  </si>
  <si>
    <t>Ivivi Technologies</t>
  </si>
  <si>
    <t>Kerr Corp</t>
  </si>
  <si>
    <t>Kinetic Concepts</t>
  </si>
  <si>
    <t>King Pharmaceuticals</t>
  </si>
  <si>
    <t>Kleiner, Perkins et al</t>
  </si>
  <si>
    <t>Lanx LLC</t>
  </si>
  <si>
    <t>Lasko Products</t>
  </si>
  <si>
    <t>Lehigh Valley Technologies</t>
  </si>
  <si>
    <t>Life Medical Technologies</t>
  </si>
  <si>
    <t>Lifecell Corp</t>
  </si>
  <si>
    <t>LifeScan Inc</t>
  </si>
  <si>
    <t>Lifespan</t>
  </si>
  <si>
    <t>Lion-Vallen Industries</t>
  </si>
  <si>
    <t>Lundbeck Inc</t>
  </si>
  <si>
    <t>Lundbeck Research USA</t>
  </si>
  <si>
    <t>Lytex Biopharma AS</t>
  </si>
  <si>
    <t>Z-Medica</t>
  </si>
  <si>
    <t>Zimmer Holdings</t>
  </si>
  <si>
    <t>Zimmer Inc</t>
  </si>
  <si>
    <t>Client</t>
  </si>
  <si>
    <t>Abercrombie, Neil</t>
  </si>
  <si>
    <t>D</t>
  </si>
  <si>
    <t>Baldwin, Tammy</t>
  </si>
  <si>
    <t>Barrow, John</t>
  </si>
  <si>
    <t>Barton, Joe</t>
  </si>
  <si>
    <t>R</t>
  </si>
  <si>
    <t>Ranking Member</t>
  </si>
  <si>
    <t>Blackburn, Marsha</t>
  </si>
  <si>
    <t>Blunt, Roy</t>
  </si>
  <si>
    <t>Bono Mack, Mary</t>
  </si>
  <si>
    <t>Boucher, Rick</t>
  </si>
  <si>
    <t>Braley, Bruce</t>
  </si>
  <si>
    <t>Burgess, Michael</t>
  </si>
  <si>
    <t>Butterfield, G K</t>
  </si>
  <si>
    <t>Buyer, Steve</t>
  </si>
  <si>
    <t>Capps, Lois</t>
  </si>
  <si>
    <t>Castor, Kathy</t>
  </si>
  <si>
    <t>Christian-Christensen, Donna</t>
  </si>
  <si>
    <t>Deal, Nathan</t>
  </si>
  <si>
    <t>DeGette, Diana</t>
  </si>
  <si>
    <t>Dingell, John D</t>
  </si>
  <si>
    <t>Doyle, Mike</t>
  </si>
  <si>
    <t>Engel, Eliot L</t>
  </si>
  <si>
    <t>Eshoo, Anna</t>
  </si>
  <si>
    <t>Gingrey, Phil</t>
  </si>
  <si>
    <t>Gonzalez, Charlie A</t>
  </si>
  <si>
    <t>Gordon, Bart</t>
  </si>
  <si>
    <t>Green, Gene</t>
  </si>
  <si>
    <t>Griffith, Parker</t>
  </si>
  <si>
    <t>Hall, Ralph M</t>
  </si>
  <si>
    <t>Harman, Jane</t>
  </si>
  <si>
    <t>Hill, Baron</t>
  </si>
  <si>
    <t>Inslee, Jay R</t>
  </si>
  <si>
    <t>Latta, Robert E</t>
  </si>
  <si>
    <t>Markey, Edward J</t>
  </si>
  <si>
    <t>Matheson, Jim</t>
  </si>
  <si>
    <t>Matsui, Doris O</t>
  </si>
  <si>
    <t>McNerney, Jerry</t>
  </si>
  <si>
    <t>Melancon, Charles</t>
  </si>
  <si>
    <t>Murphy, Christopher S</t>
  </si>
  <si>
    <t>Murphy, Tim</t>
  </si>
  <si>
    <t>Myrick, Sue</t>
  </si>
  <si>
    <t>Pallone, Frank Jr</t>
  </si>
  <si>
    <t>Pitts, Joe</t>
  </si>
  <si>
    <t>Radanovich, George</t>
  </si>
  <si>
    <t>Rogers, Mike</t>
  </si>
  <si>
    <t>Ross, Mike</t>
  </si>
  <si>
    <t>Rush, Bobby L</t>
  </si>
  <si>
    <t>Sarbanes, John</t>
  </si>
  <si>
    <t>Scalise, Steve</t>
  </si>
  <si>
    <t>Schakowsky, Jan</t>
  </si>
  <si>
    <t>Shadegg, John</t>
  </si>
  <si>
    <t>Shimkus, John M</t>
  </si>
  <si>
    <t>Space, Zachary T</t>
  </si>
  <si>
    <t>Stearns, Cliff</t>
  </si>
  <si>
    <t>Novartis Corp</t>
  </si>
  <si>
    <t>Novartis Pharmaceuticals</t>
  </si>
  <si>
    <t>Novavax Inc</t>
  </si>
  <si>
    <t>Novavision Inc</t>
  </si>
  <si>
    <t>Novo Nordisk Pharmaceuticals</t>
  </si>
  <si>
    <t>NxStage Medical</t>
  </si>
  <si>
    <t>Ocera Therapeutics</t>
  </si>
  <si>
    <t>Ohio Willow Wood</t>
  </si>
  <si>
    <t>Olympus America</t>
  </si>
  <si>
    <t>Onconova Therapeutics</t>
  </si>
  <si>
    <t>Orasure Technologies</t>
  </si>
  <si>
    <t>Orchid Chemicals &amp; Pharmaceuticals Ltd</t>
  </si>
  <si>
    <t>Ortho Concepts</t>
  </si>
  <si>
    <t>Orthocare Innovations</t>
  </si>
  <si>
    <t>Orthofix International</t>
  </si>
  <si>
    <t>Orthovita</t>
  </si>
  <si>
    <t>OSI Pharmaceuticals</t>
  </si>
  <si>
    <t>Osiris Therapeutics</t>
  </si>
  <si>
    <t>Osmotica Pharmaceuticals</t>
  </si>
  <si>
    <t>P&amp;G Pharmaceuticals</t>
  </si>
  <si>
    <t>Pacific Pulmonary Services</t>
  </si>
  <si>
    <t>Pain Therapeutics</t>
  </si>
  <si>
    <t>Panflu</t>
  </si>
  <si>
    <t>Parion Sciences Inc</t>
  </si>
  <si>
    <t>Patton Medical Devices</t>
  </si>
  <si>
    <t>Pdi Inc</t>
  </si>
  <si>
    <t>PDSHeart</t>
  </si>
  <si>
    <t>Perrigo Co</t>
  </si>
  <si>
    <t>Pfizer Inc</t>
  </si>
  <si>
    <t>Pharma Industry Labor Management Assn</t>
  </si>
  <si>
    <t>Pharmaceutical Care Management Assn</t>
  </si>
  <si>
    <t>Murray, Patty</t>
  </si>
  <si>
    <t>Reed, Jack</t>
  </si>
  <si>
    <t>Roberts, Pat</t>
  </si>
  <si>
    <t>Sanders, Bernie</t>
  </si>
  <si>
    <t>Bass, Charles</t>
  </si>
  <si>
    <t>Bilbray, Brian P</t>
  </si>
  <si>
    <t>Cassidy, Bill</t>
  </si>
  <si>
    <t>Gardner, Cory</t>
  </si>
  <si>
    <t>Griffith, Morgan</t>
  </si>
  <si>
    <t>Guthrie, Steven Brett</t>
  </si>
  <si>
    <t>Harper, Gregg</t>
  </si>
  <si>
    <t>Kinzinger, Adam</t>
  </si>
  <si>
    <t>Lance, Leonard</t>
  </si>
  <si>
    <t>McKinley, David</t>
  </si>
  <si>
    <t>McMorris Rodgers, Cathy</t>
  </si>
  <si>
    <t>Olson, Pete</t>
  </si>
  <si>
    <t>Pompeo, Mike</t>
  </si>
  <si>
    <t>Towns, Edolphus</t>
  </si>
  <si>
    <t>Blumenthal, Richard</t>
  </si>
  <si>
    <t>Kirk, Mark</t>
  </si>
  <si>
    <t>Paul, Rand</t>
  </si>
  <si>
    <t>Whitehouse, Sheldon</t>
  </si>
  <si>
    <t>CRPName</t>
  </si>
  <si>
    <t>Party</t>
  </si>
  <si>
    <t>Cycle</t>
  </si>
  <si>
    <t>Congressno</t>
  </si>
  <si>
    <t>House Energy &amp; Commerce</t>
  </si>
  <si>
    <t>Senate HELP</t>
  </si>
  <si>
    <t>Committee</t>
  </si>
  <si>
    <t>Title</t>
  </si>
  <si>
    <t>Total</t>
  </si>
  <si>
    <t>To Candidate</t>
  </si>
  <si>
    <t>To Leadership PAC</t>
  </si>
  <si>
    <t>Dems</t>
  </si>
  <si>
    <t>Repubs</t>
  </si>
  <si>
    <t>%Dem</t>
  </si>
  <si>
    <t>%Repub</t>
  </si>
  <si>
    <t>Donor</t>
  </si>
  <si>
    <t>Rank</t>
  </si>
  <si>
    <t>AstraZeneca PLC</t>
  </si>
  <si>
    <t>Bayer AG</t>
  </si>
  <si>
    <t>Novartis AG</t>
  </si>
  <si>
    <t>Novo Nordisk</t>
  </si>
  <si>
    <t>CH Boehringer Sohn</t>
  </si>
  <si>
    <t>Covidien Ltd</t>
  </si>
  <si>
    <t>Baxter International</t>
  </si>
  <si>
    <t>Philips Electronics</t>
  </si>
  <si>
    <t>SCOOTER Store</t>
  </si>
  <si>
    <t>Eisai Co Ltd</t>
  </si>
  <si>
    <t>Astellas Pharma</t>
  </si>
  <si>
    <t>Sanofi</t>
  </si>
  <si>
    <t>Generic Pharmaceutical Assn</t>
  </si>
  <si>
    <t>Takeda Pharmaceutical Co</t>
  </si>
  <si>
    <t>Warburg Pincus</t>
  </si>
  <si>
    <t>Yes</t>
  </si>
  <si>
    <t>Chair</t>
  </si>
  <si>
    <t>Vice Chair</t>
  </si>
  <si>
    <t>Ranking</t>
  </si>
  <si>
    <t>Total Contributions to Senate</t>
  </si>
  <si>
    <t>Total Contributions to Senate</t>
    <phoneticPr fontId="4" type="noConversion"/>
  </si>
  <si>
    <t>Sunrise Medical</t>
  </si>
  <si>
    <t>Syncro Medical Innovations</t>
  </si>
  <si>
    <t>Synzyme Technologies</t>
  </si>
  <si>
    <t>Takeda Pharmaceuticals North America</t>
  </si>
  <si>
    <t>Taraxos</t>
  </si>
  <si>
    <t>Tetraphase Pharmaceuticals</t>
  </si>
  <si>
    <t>Teva Pharmaceuticals USA</t>
  </si>
  <si>
    <t>Thermo Electron</t>
  </si>
  <si>
    <t>Thoratec Corp</t>
  </si>
  <si>
    <t>Thornhill Research</t>
  </si>
  <si>
    <t>Tissue Regeneration Technologies</t>
  </si>
  <si>
    <t>Traumacure</t>
  </si>
  <si>
    <t>Triax Pharmaceuticals</t>
  </si>
  <si>
    <t>Trident USA Health Services</t>
  </si>
  <si>
    <t>Trius Therapeutics</t>
  </si>
  <si>
    <t>Twin Star Medical</t>
  </si>
  <si>
    <t>United Therapeautics</t>
  </si>
  <si>
    <t>Varian Medical Systems</t>
  </si>
  <si>
    <t>Vaxin Pharmaceuticals</t>
  </si>
  <si>
    <t>VaxInnate Corp</t>
  </si>
  <si>
    <t>Vertex Pharmaceuticals</t>
  </si>
  <si>
    <t>Vestara</t>
  </si>
  <si>
    <t>Vista Partners</t>
  </si>
  <si>
    <t>Vivitrol Business Unit</t>
  </si>
  <si>
    <t>Vivus Inc</t>
  </si>
  <si>
    <t>Volcano Corp</t>
  </si>
  <si>
    <t>Watson Pharmaceuticals</t>
  </si>
  <si>
    <t>Welch Allyn Inc</t>
  </si>
  <si>
    <t>Wright Medical Technology</t>
  </si>
  <si>
    <t>Wyeth</t>
  </si>
  <si>
    <t>XOMA</t>
  </si>
  <si>
    <t>Z-Gen</t>
  </si>
  <si>
    <t xml:space="preserve">Total  Contributions to House* </t>
    <phoneticPr fontId="4" type="noConversion"/>
  </si>
  <si>
    <t>Total Contributions to House* D</t>
  </si>
  <si>
    <t>Total Contributions to House* D</t>
    <phoneticPr fontId="4" type="noConversion"/>
  </si>
  <si>
    <t>Total Contributions to House* R</t>
  </si>
  <si>
    <t>Total Contributions to House* R</t>
    <phoneticPr fontId="4" type="noConversion"/>
  </si>
  <si>
    <t>Total PAC Contributions to House* D</t>
  </si>
  <si>
    <t>Total PAC Contributions to House* D</t>
    <phoneticPr fontId="4" type="noConversion"/>
  </si>
  <si>
    <t>Total PAC Contributions to House* R</t>
  </si>
  <si>
    <t>Total PAC Contributions to House* R</t>
    <phoneticPr fontId="4" type="noConversion"/>
  </si>
  <si>
    <t>Total Candidate Contributions to House* D</t>
  </si>
  <si>
    <t>Total Candidate Contributions to House* D</t>
    <phoneticPr fontId="4" type="noConversion"/>
  </si>
  <si>
    <t>Total Candidate Contributions to House* R</t>
  </si>
  <si>
    <t>Total Candidate Contributions to House* R</t>
    <phoneticPr fontId="4" type="noConversion"/>
  </si>
  <si>
    <t xml:space="preserve">Total Candidate Contributions to Senate R </t>
    <phoneticPr fontId="4" type="noConversion"/>
  </si>
  <si>
    <t>*House means House Subcommittee on Health</t>
    <phoneticPr fontId="4" type="noConversion"/>
  </si>
  <si>
    <t>111th Congress</t>
  </si>
  <si>
    <t>Total  Contributions to House*</t>
  </si>
  <si>
    <t>Total Contribution to Senate D</t>
  </si>
  <si>
    <t>Total Contribution to Senate R</t>
  </si>
  <si>
    <t>Total PAC Contributions to Senate R</t>
  </si>
  <si>
    <t>Total Candidate Contributions to Senate R</t>
  </si>
  <si>
    <t>Yes</t>
    <phoneticPr fontId="4" type="noConversion"/>
  </si>
  <si>
    <t>Total PAC Contributions to Senate D</t>
  </si>
  <si>
    <t>Total PAC Contributions to Senate D</t>
    <phoneticPr fontId="4" type="noConversion"/>
  </si>
  <si>
    <t>Total Candidate Contributions to Senate D</t>
  </si>
  <si>
    <t>112th Congress</t>
    <phoneticPr fontId="4" type="noConversion"/>
  </si>
  <si>
    <t>Yes</t>
    <phoneticPr fontId="4" type="noConversion"/>
  </si>
  <si>
    <t>Yes</t>
    <phoneticPr fontId="4" type="noConversion"/>
  </si>
  <si>
    <t>Yes</t>
    <phoneticPr fontId="4" type="noConversion"/>
  </si>
  <si>
    <t>Yes</t>
    <phoneticPr fontId="4" type="noConversion"/>
  </si>
  <si>
    <t>Yes</t>
    <phoneticPr fontId="4" type="noConversion"/>
  </si>
  <si>
    <t xml:space="preserve">Total Contribution to Senate D </t>
    <phoneticPr fontId="4" type="noConversion"/>
  </si>
  <si>
    <t xml:space="preserve">Total Contribution to Senate R </t>
    <phoneticPr fontId="4" type="noConversion"/>
  </si>
  <si>
    <t xml:space="preserve">Total PAC Contributions to Senate R </t>
    <phoneticPr fontId="4" type="noConversion"/>
  </si>
  <si>
    <t>Total Candidate Contributions to Senate D</t>
    <phoneticPr fontId="4" type="noConversion"/>
  </si>
  <si>
    <t>Stupak, Bart</t>
  </si>
  <si>
    <t>Sullivan, John</t>
  </si>
  <si>
    <t>Sutton, Betty Sue</t>
  </si>
  <si>
    <t>Terry, Lee</t>
  </si>
  <si>
    <t>Upton, Fred</t>
  </si>
  <si>
    <t>Walden, Greg</t>
  </si>
  <si>
    <t>Waxman, Henry A</t>
  </si>
  <si>
    <t>Chairman</t>
  </si>
  <si>
    <t>Weiner, Anthony D</t>
  </si>
  <si>
    <t>Welch, Peter</t>
  </si>
  <si>
    <t>Whitfield, Ed</t>
  </si>
  <si>
    <t>Alexander, Lamar</t>
  </si>
  <si>
    <t>Bennet, Michael F</t>
  </si>
  <si>
    <t>Bingaman, Jeff</t>
  </si>
  <si>
    <t>Burr, Richard</t>
  </si>
  <si>
    <t>Casey, Bob</t>
  </si>
  <si>
    <t>Coburn, Tom</t>
  </si>
  <si>
    <t>Dodd, Chris</t>
  </si>
  <si>
    <t>Enzi, Mike</t>
  </si>
  <si>
    <t>Franken, Al</t>
  </si>
  <si>
    <t>Gregg, Judd</t>
  </si>
  <si>
    <t>Hagan, Kay R</t>
  </si>
  <si>
    <t>Harkin, Tom</t>
  </si>
  <si>
    <t>Hatch, Orrin G</t>
  </si>
  <si>
    <t>Isakson, Johnny</t>
  </si>
  <si>
    <t>McCain, John</t>
  </si>
  <si>
    <t>Merkley, Jeff</t>
  </si>
  <si>
    <t>Mikulski, Barbara A</t>
  </si>
  <si>
    <t>Murkowski, Lisa</t>
  </si>
  <si>
    <t>I</t>
  </si>
  <si>
    <t>Totals:</t>
  </si>
  <si>
    <t>Med Supplies Manufacturing Total 2010</t>
  </si>
  <si>
    <t xml:space="preserve">Med Supplies Manufacturing Total 2009 </t>
  </si>
  <si>
    <t>2011</t>
  </si>
  <si>
    <t xml:space="preserve">Pharmaceutical Manufacturing            </t>
  </si>
  <si>
    <t xml:space="preserve">Medical Supplies Manufacturing          </t>
  </si>
  <si>
    <t xml:space="preserve">Soluble Systems                         </t>
  </si>
  <si>
    <t>Med Supplies Manufacturing Total 2011</t>
  </si>
  <si>
    <t>2009-2011 Overall Med Supplies Manufacturing</t>
  </si>
  <si>
    <t>Pharmaceutical 2009</t>
  </si>
  <si>
    <t>Pharmaceutical 2010</t>
  </si>
  <si>
    <t>Pharmaceutical 2011</t>
  </si>
  <si>
    <t>Pharmaceutical Total 2009-2011</t>
  </si>
  <si>
    <t>client</t>
  </si>
  <si>
    <t xml:space="preserve">Ablitech Inc                            </t>
  </si>
  <si>
    <t>Abraxis BioScience</t>
  </si>
  <si>
    <t>Achaogen</t>
  </si>
  <si>
    <t>Admetech</t>
  </si>
  <si>
    <t>Aduro BioTech</t>
  </si>
  <si>
    <t>Advanced Biohealing</t>
  </si>
  <si>
    <t>Advanced Cancer Therapeutics</t>
  </si>
  <si>
    <t>Advanced Cell Technology</t>
  </si>
  <si>
    <t>Advaxis Inc</t>
  </si>
  <si>
    <t>Affymax Inc</t>
  </si>
  <si>
    <t>Agennix Inc</t>
  </si>
  <si>
    <t>Airlift Research Foundation</t>
  </si>
  <si>
    <t>Aldevron</t>
  </si>
  <si>
    <t>Alfred Mann Foundation</t>
  </si>
  <si>
    <t>American Bioindustry Alliance</t>
  </si>
  <si>
    <t>American Society for Microbiology</t>
  </si>
  <si>
    <t>Arbor Vita Corp</t>
  </si>
  <si>
    <t>Arborgen</t>
  </si>
  <si>
    <t>Arena Pharmaceuticals</t>
  </si>
  <si>
    <t>Asterand Inc</t>
  </si>
  <si>
    <t>Athena Biotechologies Inc</t>
  </si>
  <si>
    <t>AVI BioPharma</t>
  </si>
  <si>
    <t>AxoGen Inc</t>
  </si>
  <si>
    <t>Bacterin International</t>
  </si>
  <si>
    <t>Bioenterprise</t>
  </si>
  <si>
    <t>Biogen Idec</t>
  </si>
  <si>
    <t>BioMarin Pharmaceutical</t>
  </si>
  <si>
    <t>Bioprotection Systems</t>
  </si>
  <si>
    <t>Biorelix</t>
  </si>
  <si>
    <t>Bioscrip Inc</t>
  </si>
  <si>
    <t>Biotech Research &amp; Development Center</t>
  </si>
  <si>
    <t>Biotechnology Industry Organization</t>
  </si>
  <si>
    <t>Biovest International</t>
  </si>
  <si>
    <t>Blackrock Microsystems</t>
  </si>
  <si>
    <t>Burnham Inst for Med Research/Lake Nona</t>
  </si>
  <si>
    <t>Burnham Institute for Medical Research</t>
  </si>
  <si>
    <t>Calspan-Univ of Buffalo Research Center</t>
  </si>
  <si>
    <t>Cangene Corp</t>
  </si>
  <si>
    <t>Cell Therapeutics</t>
  </si>
  <si>
    <t>Cellectar Inc</t>
  </si>
  <si>
    <t>Cellerant Therapeutics</t>
  </si>
  <si>
    <t>Cellular Bioengineering Inc</t>
  </si>
  <si>
    <t>Cerus Corp</t>
  </si>
  <si>
    <t>Clasado Ltd</t>
  </si>
  <si>
    <t>Cleveland BioLabs</t>
  </si>
  <si>
    <t>Coalition for Plant &amp; Life Science</t>
  </si>
  <si>
    <t>Cold Spring Harbor Laboratory</t>
  </si>
  <si>
    <t>Conjugon Inc</t>
  </si>
  <si>
    <t>Consortium for Plant Biotech Research</t>
  </si>
  <si>
    <t>Covance Inc</t>
  </si>
  <si>
    <t>Cryolife Inc</t>
  </si>
  <si>
    <t>CSL Ltd</t>
  </si>
  <si>
    <t>CV Therapeutics</t>
  </si>
  <si>
    <t>Cyberkinetics Neurotechnology Systems</t>
  </si>
  <si>
    <t>Cytomedix Inc</t>
  </si>
  <si>
    <t>Dendreon Corp</t>
  </si>
  <si>
    <t>Dymedix Corp</t>
  </si>
  <si>
    <t>Elusys Therapeutics</t>
  </si>
  <si>
    <t>EO2 Concepts</t>
  </si>
  <si>
    <t>Exact Sciences</t>
  </si>
  <si>
    <t>Fate Therapeutics</t>
  </si>
  <si>
    <t>FluGen Inc</t>
  </si>
  <si>
    <t>Genencor International</t>
  </si>
  <si>
    <t>Genomatica</t>
  </si>
  <si>
    <t>Genomic Health Inc</t>
  </si>
  <si>
    <t xml:space="preserve">GenPhar Inc                             </t>
  </si>
  <si>
    <t>Genzyme Corp</t>
  </si>
  <si>
    <t>GeoVax Labs</t>
  </si>
  <si>
    <t>Gilead Sciences</t>
  </si>
  <si>
    <t>Giner Inc</t>
  </si>
  <si>
    <t>Grifols Inc</t>
  </si>
  <si>
    <t>Human Genome Sciences</t>
  </si>
  <si>
    <t>Ibis Biosciences</t>
  </si>
  <si>
    <t>Idaho Technologies</t>
  </si>
  <si>
    <t>Incitor Llc</t>
  </si>
  <si>
    <t xml:space="preserve">Innovative Biotherapies                 </t>
  </si>
  <si>
    <t>Inologic</t>
  </si>
  <si>
    <t>Inovio AS</t>
  </si>
  <si>
    <t>InstantLabs Medical Device Corp</t>
  </si>
  <si>
    <t>Intercell USA</t>
  </si>
  <si>
    <t>Intl Partnership for Microbicides</t>
  </si>
  <si>
    <t>IOGEN Corp</t>
  </si>
  <si>
    <t>Isis Pharmaceuticals</t>
  </si>
  <si>
    <t>Jackson Laboratory</t>
  </si>
  <si>
    <t>Lauras AS</t>
  </si>
  <si>
    <t>Life Technologies Corp</t>
  </si>
  <si>
    <t>Lifeblood Medical</t>
  </si>
  <si>
    <t>Massachusetts Biotechnology Council</t>
  </si>
  <si>
    <t>Matritech</t>
  </si>
  <si>
    <t>Medicago</t>
  </si>
  <si>
    <t>Mendel Biotechnology</t>
  </si>
  <si>
    <t>Menssana Research Inc</t>
  </si>
  <si>
    <t>Merck KGaA</t>
  </si>
  <si>
    <t>Michigan Biotechnology Institute</t>
  </si>
  <si>
    <t>Microban International</t>
  </si>
  <si>
    <t>Morphotek Inc</t>
  </si>
  <si>
    <t>MRE-Holding AS</t>
  </si>
  <si>
    <t>Nabi Biopharmaceuticals</t>
  </si>
  <si>
    <t>NanoViricides Inc</t>
  </si>
  <si>
    <t>Natl Assn Public Health Stat &amp; Info Syst</t>
  </si>
  <si>
    <t>Neuralstem</t>
  </si>
  <si>
    <t>Northfield Laboratories</t>
  </si>
  <si>
    <t>Onyx Pharmaceuticals</t>
  </si>
  <si>
    <t>Organogenesis Inc</t>
  </si>
  <si>
    <t>Otonomy Corp</t>
  </si>
  <si>
    <t>Pharma Services Acquisition Corp</t>
  </si>
  <si>
    <t>Pharmathene Inc</t>
  </si>
  <si>
    <t>Philadelphia Health &amp; Education Corp</t>
  </si>
  <si>
    <t>Planet Biotechnology</t>
  </si>
  <si>
    <t>Plasma Protein Therapeutics Assn</t>
  </si>
  <si>
    <t>Psychemedics Corp</t>
  </si>
  <si>
    <t>Quintiles Transnational</t>
  </si>
  <si>
    <t>Research Corporation Technologies Inc</t>
  </si>
  <si>
    <t>Safe Life Corp</t>
  </si>
  <si>
    <t>Sirtex Medical</t>
  </si>
  <si>
    <t>Spacelabs Healthcare</t>
  </si>
  <si>
    <t>Spaltudaq Corp</t>
  </si>
  <si>
    <t>Specialty &amp; Biotech Distributors Assn</t>
  </si>
  <si>
    <t>Stowers Institute for Medical Research</t>
  </si>
  <si>
    <t>SW Foundation for Biomedical Research</t>
  </si>
  <si>
    <t xml:space="preserve">Synedgen Inc                            </t>
  </si>
  <si>
    <t>T2 Biosystems</t>
  </si>
  <si>
    <t>Talecris Biotherapeutics</t>
  </si>
  <si>
    <t>TearLab Corp</t>
  </si>
  <si>
    <t>Tessarae Inc</t>
  </si>
  <si>
    <t>Tethys Bioscience</t>
  </si>
  <si>
    <t>TetraLogic Pharmaceuticals</t>
  </si>
  <si>
    <t>Texas Biological/Agro-Defense Consortium</t>
  </si>
  <si>
    <t>Texas Biomedical Research Institute</t>
  </si>
  <si>
    <t>Therapure Biopharma Inc</t>
  </si>
  <si>
    <t>TransGenRx Inc</t>
  </si>
  <si>
    <t>Translational Genomics Research Inst</t>
  </si>
  <si>
    <t>Variation Biotechnologies</t>
  </si>
  <si>
    <t>Vaxdesign Corp</t>
  </si>
  <si>
    <t>VaxGen Inc</t>
  </si>
  <si>
    <t>Verax Biomedical</t>
  </si>
  <si>
    <t>Viagen Inc</t>
  </si>
  <si>
    <t>West Wireless Health Institute</t>
  </si>
  <si>
    <t>XDX Inc</t>
  </si>
  <si>
    <t>XenoPort Inc</t>
  </si>
  <si>
    <t>XStream Systems</t>
  </si>
  <si>
    <t>Xytis Inc</t>
  </si>
  <si>
    <t>YM BioSciences</t>
  </si>
  <si>
    <t>Zenda Technologies</t>
  </si>
  <si>
    <t>Zephyr Technology Corp</t>
  </si>
  <si>
    <t>Zimek Technologies</t>
  </si>
  <si>
    <t>Ziopharm Oncology Inc</t>
  </si>
  <si>
    <t>Zymogenetics Inc</t>
  </si>
  <si>
    <t xml:space="preserve">Totals: </t>
  </si>
  <si>
    <t>2009-2011</t>
  </si>
  <si>
    <t>Monsanto Co</t>
  </si>
  <si>
    <t>Ischemix</t>
  </si>
  <si>
    <t xml:space="preserve">Life Technologies Corp                  </t>
  </si>
  <si>
    <t>Advanced BioHealing</t>
  </si>
  <si>
    <t>Neuropace Inc</t>
  </si>
  <si>
    <t>Mannkind Corp</t>
  </si>
  <si>
    <t>Capnia Inc</t>
  </si>
  <si>
    <t>Bio Research Laboratories</t>
  </si>
  <si>
    <t>California Healthcare Institute</t>
  </si>
  <si>
    <t xml:space="preserve">Tissue Genesis </t>
  </si>
  <si>
    <t>GenPhar Inc</t>
  </si>
  <si>
    <t>Exoxemis Inc</t>
  </si>
  <si>
    <t>Centegen Inc</t>
  </si>
  <si>
    <t>Combimatrix Corp</t>
  </si>
  <si>
    <t>Blue Heron Biotechnology</t>
  </si>
  <si>
    <t>Wistar Institute</t>
  </si>
  <si>
    <t>Taligen Therapeutics</t>
  </si>
  <si>
    <t>Targeted Genetics Corp</t>
  </si>
  <si>
    <t>Harris Frc</t>
  </si>
  <si>
    <t>Flugen Inc</t>
  </si>
  <si>
    <t>Wave Form Systems</t>
  </si>
  <si>
    <t>Myriad Genetics Inc</t>
  </si>
  <si>
    <t>Pennsylvania Bio</t>
  </si>
  <si>
    <t>Ppd Inc</t>
  </si>
  <si>
    <t>Hollister Inc.</t>
  </si>
  <si>
    <t>On key committee or subcommittee?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</si>
</sst>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10" x14ac:knownFonts="1">
    <font>
      <sz val="10"/>
      <name val="MS Sans Serif"/>
    </font>
    <font>
      <sz val="10"/>
      <name val="MS Sans Serif"/>
    </font>
    <font>
      <b/>
      <sz val="10"/>
      <name val="MS Sans Serif"/>
      <family val="2"/>
    </font>
    <font>
      <sz val="10"/>
      <name val="MS Sans Serif"/>
    </font>
    <font>
      <sz val="8"/>
      <name val="Verdana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165" fontId="0" fillId="0" borderId="0" xfId="0" applyNumberFormat="1"/>
    <xf numFmtId="9" fontId="0" fillId="0" borderId="0" xfId="1" applyFont="1"/>
    <xf numFmtId="1" fontId="2" fillId="0" borderId="0" xfId="0" applyNumberFormat="1" applyFont="1"/>
    <xf numFmtId="1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0" fontId="0" fillId="0" borderId="0" xfId="0" applyNumberFormat="1"/>
    <xf numFmtId="164" fontId="0" fillId="0" borderId="0" xfId="0" applyNumberFormat="1"/>
    <xf numFmtId="6" fontId="1" fillId="0" borderId="0" xfId="0" applyNumberFormat="1" applyFont="1"/>
    <xf numFmtId="6" fontId="0" fillId="0" borderId="0" xfId="0" applyNumberFormat="1"/>
    <xf numFmtId="6" fontId="5" fillId="0" borderId="0" xfId="0" applyNumberFormat="1" applyFont="1"/>
    <xf numFmtId="9" fontId="5" fillId="0" borderId="0" xfId="0" applyNumberFormat="1" applyFont="1"/>
    <xf numFmtId="8" fontId="5" fillId="0" borderId="0" xfId="0" applyNumberFormat="1" applyFont="1"/>
    <xf numFmtId="0" fontId="5" fillId="0" borderId="0" xfId="0" applyFont="1"/>
    <xf numFmtId="0" fontId="7" fillId="2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164" fontId="7" fillId="0" borderId="2" xfId="2" applyNumberFormat="1" applyFont="1" applyFill="1" applyBorder="1" applyAlignment="1">
      <alignment horizontal="right" wrapText="1"/>
    </xf>
    <xf numFmtId="164" fontId="6" fillId="0" borderId="0" xfId="2" applyNumberFormat="1"/>
    <xf numFmtId="164" fontId="6" fillId="0" borderId="2" xfId="2" applyNumberFormat="1" applyBorder="1"/>
    <xf numFmtId="164" fontId="7" fillId="0" borderId="0" xfId="2" applyNumberFormat="1" applyFont="1" applyFill="1" applyBorder="1" applyAlignment="1">
      <alignment horizontal="right" wrapText="1"/>
    </xf>
    <xf numFmtId="164" fontId="2" fillId="0" borderId="0" xfId="0" applyNumberFormat="1" applyFont="1"/>
    <xf numFmtId="164" fontId="5" fillId="0" borderId="0" xfId="0" applyNumberFormat="1" applyFont="1"/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164" fontId="9" fillId="0" borderId="2" xfId="3" applyNumberFormat="1" applyFont="1" applyFill="1" applyBorder="1" applyAlignment="1">
      <alignment horizontal="right" wrapText="1"/>
    </xf>
    <xf numFmtId="165" fontId="5" fillId="0" borderId="0" xfId="0" applyNumberFormat="1" applyFont="1"/>
    <xf numFmtId="164" fontId="6" fillId="0" borderId="0" xfId="2" applyNumberFormat="1" applyBorder="1"/>
  </cellXfs>
  <cellStyles count="4">
    <cellStyle name="Normal" xfId="0" builtinId="0"/>
    <cellStyle name="Normal_including 2011 data" xfId="2"/>
    <cellStyle name="Normal_Sheet1" xfId="3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N164"/>
  <sheetViews>
    <sheetView zoomScale="85" zoomScaleNormal="85" workbookViewId="0">
      <selection activeCell="J28" sqref="J28"/>
    </sheetView>
  </sheetViews>
  <sheetFormatPr defaultColWidth="8.7109375" defaultRowHeight="12.75" x14ac:dyDescent="0.2"/>
  <cols>
    <col min="1" max="1" width="26" bestFit="1" customWidth="1"/>
    <col min="2" max="2" width="5.42578125" bestFit="1" customWidth="1"/>
    <col min="3" max="3" width="7.85546875" bestFit="1" customWidth="1"/>
    <col min="4" max="4" width="11.5703125" bestFit="1" customWidth="1"/>
    <col min="5" max="5" width="29" bestFit="1" customWidth="1"/>
    <col min="6" max="6" width="18.28515625" bestFit="1" customWidth="1"/>
    <col min="7" max="7" width="10.7109375" bestFit="1" customWidth="1"/>
    <col min="8" max="8" width="13" bestFit="1" customWidth="1"/>
    <col min="9" max="9" width="18.42578125" bestFit="1" customWidth="1"/>
    <col min="10" max="10" width="32.5703125" bestFit="1" customWidth="1"/>
    <col min="12" max="12" width="38" bestFit="1" customWidth="1"/>
    <col min="14" max="14" width="66.28515625" customWidth="1"/>
  </cols>
  <sheetData>
    <row r="1" spans="1:14" x14ac:dyDescent="0.2">
      <c r="A1" s="16" t="s">
        <v>382</v>
      </c>
      <c r="B1" s="16" t="s">
        <v>383</v>
      </c>
      <c r="C1" s="16" t="s">
        <v>384</v>
      </c>
      <c r="D1" s="16" t="s">
        <v>385</v>
      </c>
      <c r="E1" s="16" t="s">
        <v>388</v>
      </c>
      <c r="F1" s="16" t="s">
        <v>389</v>
      </c>
      <c r="G1" s="16" t="s">
        <v>390</v>
      </c>
      <c r="H1" s="16" t="s">
        <v>391</v>
      </c>
      <c r="I1" s="16" t="s">
        <v>392</v>
      </c>
      <c r="J1" s="16" t="s">
        <v>706</v>
      </c>
    </row>
    <row r="2" spans="1:14" x14ac:dyDescent="0.2">
      <c r="A2" s="16" t="s">
        <v>510</v>
      </c>
      <c r="B2" s="16" t="s">
        <v>279</v>
      </c>
      <c r="C2" s="16">
        <v>2012</v>
      </c>
      <c r="D2" s="16">
        <v>112</v>
      </c>
      <c r="E2" s="16" t="s">
        <v>387</v>
      </c>
      <c r="F2" s="16"/>
      <c r="G2" s="28">
        <f>22500+165399</f>
        <v>187899</v>
      </c>
      <c r="H2" s="28">
        <v>135399</v>
      </c>
      <c r="I2" s="28">
        <v>30000</v>
      </c>
      <c r="J2" s="16" t="s">
        <v>478</v>
      </c>
    </row>
    <row r="3" spans="1:14" s="1" customFormat="1" x14ac:dyDescent="0.2">
      <c r="A3" s="16" t="s">
        <v>491</v>
      </c>
      <c r="B3" s="16" t="s">
        <v>279</v>
      </c>
      <c r="C3" s="16">
        <v>2012</v>
      </c>
      <c r="D3" s="16">
        <v>112</v>
      </c>
      <c r="E3" s="16" t="s">
        <v>386</v>
      </c>
      <c r="F3" s="16" t="s">
        <v>494</v>
      </c>
      <c r="G3" s="28">
        <v>147825</v>
      </c>
      <c r="H3" s="28">
        <v>111825</v>
      </c>
      <c r="I3" s="28">
        <v>36000</v>
      </c>
      <c r="J3" s="16"/>
      <c r="L3" s="1" t="s">
        <v>477</v>
      </c>
    </row>
    <row r="4" spans="1:14" s="1" customFormat="1" x14ac:dyDescent="0.2">
      <c r="A4" s="16" t="s">
        <v>297</v>
      </c>
      <c r="B4" s="16" t="s">
        <v>275</v>
      </c>
      <c r="C4" s="16">
        <v>2012</v>
      </c>
      <c r="D4" s="16">
        <v>112</v>
      </c>
      <c r="E4" s="16" t="s">
        <v>386</v>
      </c>
      <c r="F4" s="16"/>
      <c r="G4" s="28">
        <f>34500+71228</f>
        <v>105728</v>
      </c>
      <c r="H4" s="28">
        <v>71228</v>
      </c>
      <c r="I4" s="28">
        <v>0</v>
      </c>
      <c r="J4" s="16"/>
    </row>
    <row r="5" spans="1:14" s="2" customFormat="1" x14ac:dyDescent="0.2">
      <c r="A5" s="16" t="s">
        <v>502</v>
      </c>
      <c r="B5" s="16" t="s">
        <v>275</v>
      </c>
      <c r="C5" s="16">
        <v>2012</v>
      </c>
      <c r="D5" s="16">
        <v>112</v>
      </c>
      <c r="E5" s="16" t="s">
        <v>387</v>
      </c>
      <c r="F5" s="16"/>
      <c r="G5" s="28">
        <f>11250+91530</f>
        <v>102780</v>
      </c>
      <c r="H5" s="28">
        <v>84030</v>
      </c>
      <c r="I5" s="28">
        <v>7500</v>
      </c>
      <c r="J5" s="16" t="s">
        <v>478</v>
      </c>
      <c r="L5" s="2" t="s">
        <v>452</v>
      </c>
    </row>
    <row r="6" spans="1:14" s="1" customFormat="1" x14ac:dyDescent="0.2">
      <c r="A6" s="16" t="s">
        <v>317</v>
      </c>
      <c r="B6" s="16" t="s">
        <v>279</v>
      </c>
      <c r="C6" s="16">
        <v>2012</v>
      </c>
      <c r="D6" s="16">
        <v>112</v>
      </c>
      <c r="E6" s="16" t="s">
        <v>386</v>
      </c>
      <c r="F6" s="16" t="s">
        <v>415</v>
      </c>
      <c r="G6" s="28">
        <f>16000+81000</f>
        <v>97000</v>
      </c>
      <c r="H6" s="28">
        <v>81000</v>
      </c>
      <c r="I6" s="28">
        <v>0</v>
      </c>
      <c r="J6" s="16" t="s">
        <v>414</v>
      </c>
      <c r="L6" s="7">
        <f>SUM(G2:G16)+SUM(G27:G37)</f>
        <v>1692891</v>
      </c>
    </row>
    <row r="7" spans="1:14" s="2" customFormat="1" x14ac:dyDescent="0.2">
      <c r="A7" s="16" t="s">
        <v>508</v>
      </c>
      <c r="B7" s="16" t="s">
        <v>275</v>
      </c>
      <c r="C7" s="16">
        <v>2012</v>
      </c>
      <c r="D7" s="16">
        <v>112</v>
      </c>
      <c r="E7" s="16" t="s">
        <v>387</v>
      </c>
      <c r="F7" s="16"/>
      <c r="G7" s="28">
        <f>14500+80950</f>
        <v>95450</v>
      </c>
      <c r="H7" s="28">
        <v>42950</v>
      </c>
      <c r="I7" s="28">
        <v>38000</v>
      </c>
      <c r="J7" s="16" t="s">
        <v>478</v>
      </c>
      <c r="L7" s="2" t="s">
        <v>419</v>
      </c>
      <c r="N7" s="2" t="s">
        <v>466</v>
      </c>
    </row>
    <row r="8" spans="1:14" s="1" customFormat="1" x14ac:dyDescent="0.2">
      <c r="A8" s="16" t="s">
        <v>319</v>
      </c>
      <c r="B8" s="16" t="s">
        <v>279</v>
      </c>
      <c r="C8" s="16">
        <v>2012</v>
      </c>
      <c r="D8" s="16">
        <v>112</v>
      </c>
      <c r="E8" s="16" t="s">
        <v>386</v>
      </c>
      <c r="F8" s="16"/>
      <c r="G8" s="28">
        <f>10500+82999</f>
        <v>93499</v>
      </c>
      <c r="H8" s="28">
        <v>51249</v>
      </c>
      <c r="I8" s="28">
        <v>31750</v>
      </c>
      <c r="J8" s="16" t="s">
        <v>414</v>
      </c>
      <c r="L8" s="7">
        <f>SUM(G17:G26)+SUM(G38:G48)</f>
        <v>653475</v>
      </c>
    </row>
    <row r="9" spans="1:14" s="1" customFormat="1" x14ac:dyDescent="0.2">
      <c r="A9" s="16" t="s">
        <v>501</v>
      </c>
      <c r="B9" s="16" t="s">
        <v>279</v>
      </c>
      <c r="C9" s="16">
        <v>2012</v>
      </c>
      <c r="D9" s="16">
        <v>112</v>
      </c>
      <c r="E9" s="16" t="s">
        <v>387</v>
      </c>
      <c r="F9" s="16"/>
      <c r="G9" s="28">
        <f>12000+81078</f>
        <v>93078</v>
      </c>
      <c r="H9" s="28">
        <v>9779</v>
      </c>
      <c r="I9" s="28">
        <v>71299</v>
      </c>
      <c r="J9" s="16" t="s">
        <v>478</v>
      </c>
      <c r="L9" s="2" t="s">
        <v>454</v>
      </c>
    </row>
    <row r="10" spans="1:14" s="1" customFormat="1" x14ac:dyDescent="0.2">
      <c r="A10" s="16" t="s">
        <v>326</v>
      </c>
      <c r="B10" s="16" t="s">
        <v>279</v>
      </c>
      <c r="C10" s="16">
        <v>2012</v>
      </c>
      <c r="D10" s="16">
        <v>112</v>
      </c>
      <c r="E10" s="16" t="s">
        <v>386</v>
      </c>
      <c r="F10" s="16"/>
      <c r="G10" s="28">
        <f>8500+66000</f>
        <v>74500</v>
      </c>
      <c r="H10" s="28">
        <v>49500</v>
      </c>
      <c r="I10" s="28">
        <v>16500</v>
      </c>
      <c r="J10" s="16" t="s">
        <v>414</v>
      </c>
      <c r="L10" s="7">
        <f>SUM(G27:G37)</f>
        <v>311338</v>
      </c>
    </row>
    <row r="11" spans="1:14" s="1" customFormat="1" x14ac:dyDescent="0.2">
      <c r="A11" s="16" t="s">
        <v>309</v>
      </c>
      <c r="B11" s="16" t="s">
        <v>275</v>
      </c>
      <c r="C11" s="16">
        <v>2012</v>
      </c>
      <c r="D11" s="16">
        <v>112</v>
      </c>
      <c r="E11" s="16" t="s">
        <v>386</v>
      </c>
      <c r="F11" s="16"/>
      <c r="G11" s="28">
        <f>5500+62150</f>
        <v>67650</v>
      </c>
      <c r="H11" s="28">
        <v>56150</v>
      </c>
      <c r="I11" s="28">
        <v>6000</v>
      </c>
      <c r="J11" s="16" t="s">
        <v>414</v>
      </c>
      <c r="L11" s="2" t="s">
        <v>456</v>
      </c>
    </row>
    <row r="12" spans="1:14" s="1" customFormat="1" x14ac:dyDescent="0.2">
      <c r="A12" s="16" t="s">
        <v>505</v>
      </c>
      <c r="B12" s="16" t="s">
        <v>279</v>
      </c>
      <c r="C12" s="16">
        <v>2012</v>
      </c>
      <c r="D12" s="16">
        <v>112</v>
      </c>
      <c r="E12" s="16" t="s">
        <v>387</v>
      </c>
      <c r="F12" s="16" t="s">
        <v>280</v>
      </c>
      <c r="G12" s="28">
        <f>12500+54500</f>
        <v>67000</v>
      </c>
      <c r="H12" s="28">
        <v>11000</v>
      </c>
      <c r="I12" s="28">
        <v>43500</v>
      </c>
      <c r="J12" s="16" t="s">
        <v>478</v>
      </c>
      <c r="L12" s="7">
        <f>SUM(G2:G16)</f>
        <v>1381553</v>
      </c>
    </row>
    <row r="13" spans="1:14" s="2" customFormat="1" x14ac:dyDescent="0.2">
      <c r="A13" s="16" t="s">
        <v>298</v>
      </c>
      <c r="B13" s="16" t="s">
        <v>279</v>
      </c>
      <c r="C13" s="16">
        <v>2012</v>
      </c>
      <c r="D13" s="16">
        <v>112</v>
      </c>
      <c r="E13" s="16" t="s">
        <v>386</v>
      </c>
      <c r="F13" s="16"/>
      <c r="G13" s="28">
        <v>66000</v>
      </c>
      <c r="H13" s="28">
        <v>48500</v>
      </c>
      <c r="I13" s="28">
        <v>7500</v>
      </c>
      <c r="J13" s="16" t="s">
        <v>414</v>
      </c>
      <c r="L13" s="2" t="s">
        <v>483</v>
      </c>
    </row>
    <row r="14" spans="1:14" s="16" customFormat="1" x14ac:dyDescent="0.2">
      <c r="A14" s="16" t="s">
        <v>286</v>
      </c>
      <c r="B14" s="16" t="s">
        <v>279</v>
      </c>
      <c r="C14" s="16">
        <v>2012</v>
      </c>
      <c r="D14" s="16">
        <v>112</v>
      </c>
      <c r="E14" s="16" t="s">
        <v>386</v>
      </c>
      <c r="F14" s="16" t="s">
        <v>416</v>
      </c>
      <c r="G14" s="28">
        <f>9000+55250</f>
        <v>64250</v>
      </c>
      <c r="H14" s="28">
        <v>48250</v>
      </c>
      <c r="I14" s="28">
        <v>7000</v>
      </c>
      <c r="J14" s="16" t="s">
        <v>414</v>
      </c>
      <c r="L14" s="28">
        <f>SUM(G38:G48)</f>
        <v>220945</v>
      </c>
    </row>
    <row r="15" spans="1:14" s="1" customFormat="1" x14ac:dyDescent="0.2">
      <c r="A15" s="16" t="s">
        <v>492</v>
      </c>
      <c r="B15" s="16" t="s">
        <v>279</v>
      </c>
      <c r="C15" s="16">
        <v>2012</v>
      </c>
      <c r="D15" s="16">
        <v>112</v>
      </c>
      <c r="E15" s="16" t="s">
        <v>386</v>
      </c>
      <c r="F15" s="16"/>
      <c r="G15" s="28">
        <f>5500+57894</f>
        <v>63394</v>
      </c>
      <c r="H15" s="28">
        <v>38394</v>
      </c>
      <c r="I15" s="28">
        <v>19500</v>
      </c>
      <c r="J15" s="16"/>
      <c r="L15" s="2" t="s">
        <v>484</v>
      </c>
    </row>
    <row r="16" spans="1:14" s="1" customFormat="1" x14ac:dyDescent="0.2">
      <c r="A16" s="16" t="s">
        <v>372</v>
      </c>
      <c r="B16" s="16" t="s">
        <v>279</v>
      </c>
      <c r="C16" s="16">
        <v>2012</v>
      </c>
      <c r="D16" s="16">
        <v>112</v>
      </c>
      <c r="E16" s="16" t="s">
        <v>386</v>
      </c>
      <c r="F16" s="16"/>
      <c r="G16" s="28">
        <f>5500+50000</f>
        <v>55500</v>
      </c>
      <c r="H16" s="28">
        <v>50000</v>
      </c>
      <c r="I16" s="28">
        <v>0</v>
      </c>
      <c r="J16" s="16" t="s">
        <v>414</v>
      </c>
      <c r="L16" s="7">
        <f>SUM(G17:G26)</f>
        <v>432530</v>
      </c>
    </row>
    <row r="17" spans="1:12" s="1" customFormat="1" x14ac:dyDescent="0.2">
      <c r="A17" s="16" t="s">
        <v>381</v>
      </c>
      <c r="B17" s="16" t="s">
        <v>275</v>
      </c>
      <c r="C17" s="16">
        <v>2012</v>
      </c>
      <c r="D17" s="16">
        <v>112</v>
      </c>
      <c r="E17" s="16" t="s">
        <v>387</v>
      </c>
      <c r="F17" s="16"/>
      <c r="G17" s="28">
        <f>17983+37400</f>
        <v>55383</v>
      </c>
      <c r="H17" s="28">
        <v>37400</v>
      </c>
      <c r="I17" s="28">
        <v>0</v>
      </c>
      <c r="J17" s="16" t="s">
        <v>478</v>
      </c>
      <c r="L17" s="2" t="s">
        <v>458</v>
      </c>
    </row>
    <row r="18" spans="1:12" s="1" customFormat="1" x14ac:dyDescent="0.2">
      <c r="A18" s="16" t="s">
        <v>365</v>
      </c>
      <c r="B18" s="16" t="s">
        <v>279</v>
      </c>
      <c r="C18" s="16">
        <v>2012</v>
      </c>
      <c r="D18" s="16">
        <v>112</v>
      </c>
      <c r="E18" s="16" t="s">
        <v>386</v>
      </c>
      <c r="F18" s="16"/>
      <c r="G18" s="28">
        <f>11500+41000</f>
        <v>52500</v>
      </c>
      <c r="H18" s="28">
        <v>41000</v>
      </c>
      <c r="I18" s="28">
        <v>0</v>
      </c>
      <c r="J18" s="16"/>
      <c r="L18" s="7">
        <f>SUM(I27:I37)</f>
        <v>83500</v>
      </c>
    </row>
    <row r="19" spans="1:12" s="1" customFormat="1" x14ac:dyDescent="0.2">
      <c r="A19" s="16" t="s">
        <v>316</v>
      </c>
      <c r="B19" s="16" t="s">
        <v>275</v>
      </c>
      <c r="C19" s="16">
        <v>2012</v>
      </c>
      <c r="D19" s="16">
        <v>112</v>
      </c>
      <c r="E19" s="16" t="s">
        <v>386</v>
      </c>
      <c r="F19" s="16"/>
      <c r="G19" s="28">
        <f>10588+39750</f>
        <v>50338</v>
      </c>
      <c r="H19" s="28">
        <v>39750</v>
      </c>
      <c r="I19" s="28">
        <v>0</v>
      </c>
      <c r="J19" s="16" t="s">
        <v>414</v>
      </c>
      <c r="L19" s="2" t="s">
        <v>460</v>
      </c>
    </row>
    <row r="20" spans="1:12" s="2" customFormat="1" x14ac:dyDescent="0.2">
      <c r="A20" s="16" t="s">
        <v>369</v>
      </c>
      <c r="B20" s="16" t="s">
        <v>279</v>
      </c>
      <c r="C20" s="16">
        <v>2012</v>
      </c>
      <c r="D20" s="16">
        <v>112</v>
      </c>
      <c r="E20" s="16" t="s">
        <v>386</v>
      </c>
      <c r="F20" s="16"/>
      <c r="G20" s="28">
        <f>6000+36500</f>
        <v>42500</v>
      </c>
      <c r="H20" s="28">
        <v>34500</v>
      </c>
      <c r="I20" s="28">
        <v>2000</v>
      </c>
      <c r="J20" s="16" t="s">
        <v>414</v>
      </c>
      <c r="L20" s="7">
        <f>SUM(I2:I16)</f>
        <v>314549</v>
      </c>
    </row>
    <row r="21" spans="1:12" s="2" customFormat="1" x14ac:dyDescent="0.2">
      <c r="A21" s="16" t="s">
        <v>281</v>
      </c>
      <c r="B21" s="16" t="s">
        <v>279</v>
      </c>
      <c r="C21" s="16">
        <v>2012</v>
      </c>
      <c r="D21" s="16">
        <v>112</v>
      </c>
      <c r="E21" s="16" t="s">
        <v>386</v>
      </c>
      <c r="F21" s="16"/>
      <c r="G21" s="28">
        <f>500+39500</f>
        <v>40000</v>
      </c>
      <c r="H21" s="28">
        <v>39500</v>
      </c>
      <c r="I21" s="28">
        <v>0</v>
      </c>
      <c r="J21" s="16" t="s">
        <v>414</v>
      </c>
      <c r="L21" s="2" t="s">
        <v>475</v>
      </c>
    </row>
    <row r="22" spans="1:12" s="2" customFormat="1" x14ac:dyDescent="0.2">
      <c r="A22" s="16" t="s">
        <v>293</v>
      </c>
      <c r="B22" s="16" t="s">
        <v>275</v>
      </c>
      <c r="C22" s="16">
        <v>2012</v>
      </c>
      <c r="D22" s="16">
        <v>112</v>
      </c>
      <c r="E22" s="16" t="s">
        <v>386</v>
      </c>
      <c r="F22" s="16"/>
      <c r="G22" s="28">
        <f>9000+30659</f>
        <v>39659</v>
      </c>
      <c r="H22" s="28">
        <v>28659</v>
      </c>
      <c r="I22" s="28">
        <v>2000</v>
      </c>
      <c r="J22" s="16"/>
      <c r="L22" s="7">
        <f>SUM(I38:I48)</f>
        <v>9000</v>
      </c>
    </row>
    <row r="23" spans="1:12" s="1" customFormat="1" x14ac:dyDescent="0.2">
      <c r="A23" s="16" t="s">
        <v>277</v>
      </c>
      <c r="B23" s="16" t="s">
        <v>275</v>
      </c>
      <c r="C23" s="16">
        <v>2012</v>
      </c>
      <c r="D23" s="16">
        <v>112</v>
      </c>
      <c r="E23" s="16" t="s">
        <v>386</v>
      </c>
      <c r="F23" s="16"/>
      <c r="G23" s="28">
        <f>2500+37000</f>
        <v>39500</v>
      </c>
      <c r="H23" s="28">
        <v>32000</v>
      </c>
      <c r="I23" s="28">
        <v>5000</v>
      </c>
      <c r="J23" s="16"/>
      <c r="L23" s="2" t="s">
        <v>485</v>
      </c>
    </row>
    <row r="24" spans="1:12" s="2" customFormat="1" x14ac:dyDescent="0.2">
      <c r="A24" s="16" t="s">
        <v>497</v>
      </c>
      <c r="B24" s="16" t="s">
        <v>279</v>
      </c>
      <c r="C24" s="16">
        <v>2012</v>
      </c>
      <c r="D24" s="16">
        <v>112</v>
      </c>
      <c r="E24" s="16" t="s">
        <v>386</v>
      </c>
      <c r="F24" s="16"/>
      <c r="G24" s="28">
        <f>7500+31000</f>
        <v>38500</v>
      </c>
      <c r="H24" s="28">
        <v>23500</v>
      </c>
      <c r="I24" s="28">
        <v>7500</v>
      </c>
      <c r="J24" s="16" t="s">
        <v>414</v>
      </c>
      <c r="L24" s="7">
        <f>SUM(I17:I26)</f>
        <v>56750</v>
      </c>
    </row>
    <row r="25" spans="1:12" s="2" customFormat="1" x14ac:dyDescent="0.2">
      <c r="A25" s="16" t="s">
        <v>362</v>
      </c>
      <c r="B25" s="16" t="s">
        <v>279</v>
      </c>
      <c r="C25" s="16">
        <v>2012</v>
      </c>
      <c r="D25" s="16">
        <v>112</v>
      </c>
      <c r="E25" s="16" t="s">
        <v>387</v>
      </c>
      <c r="F25" s="16"/>
      <c r="G25" s="28">
        <f>7500+31000</f>
        <v>38500</v>
      </c>
      <c r="H25" s="28">
        <v>16750</v>
      </c>
      <c r="I25" s="28">
        <v>14250</v>
      </c>
      <c r="J25" s="16" t="s">
        <v>478</v>
      </c>
      <c r="L25" s="2" t="s">
        <v>462</v>
      </c>
    </row>
    <row r="26" spans="1:12" s="2" customFormat="1" x14ac:dyDescent="0.2">
      <c r="A26" s="16" t="s">
        <v>498</v>
      </c>
      <c r="B26" s="16" t="s">
        <v>279</v>
      </c>
      <c r="C26" s="16">
        <v>2012</v>
      </c>
      <c r="D26" s="16">
        <v>112</v>
      </c>
      <c r="E26" s="16" t="s">
        <v>387</v>
      </c>
      <c r="F26" s="16"/>
      <c r="G26" s="28">
        <f>2000+33650</f>
        <v>35650</v>
      </c>
      <c r="H26" s="28">
        <v>7650</v>
      </c>
      <c r="I26" s="28">
        <v>26000</v>
      </c>
      <c r="J26" s="16" t="s">
        <v>478</v>
      </c>
      <c r="L26" s="7">
        <f>SUM(H27:H37)</f>
        <v>193588</v>
      </c>
    </row>
    <row r="27" spans="1:12" s="1" customFormat="1" x14ac:dyDescent="0.2">
      <c r="A27" s="16" t="s">
        <v>511</v>
      </c>
      <c r="B27" s="16" t="s">
        <v>279</v>
      </c>
      <c r="C27" s="16">
        <v>2012</v>
      </c>
      <c r="D27" s="16">
        <v>112</v>
      </c>
      <c r="E27" s="16" t="s">
        <v>387</v>
      </c>
      <c r="F27" s="16"/>
      <c r="G27" s="28">
        <f>1000+32500</f>
        <v>33500</v>
      </c>
      <c r="H27" s="28">
        <v>12000</v>
      </c>
      <c r="I27" s="28">
        <v>20500</v>
      </c>
      <c r="J27" s="16" t="s">
        <v>478</v>
      </c>
      <c r="L27" s="2" t="s">
        <v>464</v>
      </c>
    </row>
    <row r="28" spans="1:12" s="1" customFormat="1" x14ac:dyDescent="0.2">
      <c r="A28" s="16" t="s">
        <v>315</v>
      </c>
      <c r="B28" s="16" t="s">
        <v>279</v>
      </c>
      <c r="C28" s="16">
        <v>2012</v>
      </c>
      <c r="D28" s="16">
        <v>112</v>
      </c>
      <c r="E28" s="16" t="s">
        <v>386</v>
      </c>
      <c r="F28" s="16"/>
      <c r="G28" s="28">
        <f>8500+22088</f>
        <v>30588</v>
      </c>
      <c r="H28" s="28">
        <v>22088</v>
      </c>
      <c r="I28" s="28">
        <v>0</v>
      </c>
      <c r="J28" s="16" t="s">
        <v>414</v>
      </c>
      <c r="L28" s="7">
        <f>SUM(H2:H16)</f>
        <v>889254</v>
      </c>
    </row>
    <row r="29" spans="1:12" s="1" customFormat="1" x14ac:dyDescent="0.2">
      <c r="A29" s="16" t="s">
        <v>294</v>
      </c>
      <c r="B29" s="16" t="s">
        <v>275</v>
      </c>
      <c r="C29" s="16">
        <v>2012</v>
      </c>
      <c r="D29" s="16">
        <v>112</v>
      </c>
      <c r="E29" s="16" t="s">
        <v>386</v>
      </c>
      <c r="F29" s="16"/>
      <c r="G29" s="28">
        <v>30500</v>
      </c>
      <c r="H29" s="28">
        <v>25500</v>
      </c>
      <c r="I29" s="28">
        <v>5000</v>
      </c>
      <c r="J29" s="16" t="s">
        <v>414</v>
      </c>
      <c r="L29" s="2" t="s">
        <v>486</v>
      </c>
    </row>
    <row r="30" spans="1:12" s="2" customFormat="1" x14ac:dyDescent="0.2">
      <c r="A30" s="16" t="s">
        <v>499</v>
      </c>
      <c r="B30" s="16" t="s">
        <v>275</v>
      </c>
      <c r="C30" s="16">
        <v>2012</v>
      </c>
      <c r="D30" s="16">
        <v>112</v>
      </c>
      <c r="E30" s="16" t="s">
        <v>387</v>
      </c>
      <c r="F30" s="16"/>
      <c r="G30" s="28">
        <v>28500</v>
      </c>
      <c r="H30" s="28">
        <v>13500</v>
      </c>
      <c r="I30" s="28">
        <v>15000</v>
      </c>
      <c r="J30" s="16" t="s">
        <v>478</v>
      </c>
      <c r="L30" s="7">
        <f>SUM(H38:H48)</f>
        <v>186245</v>
      </c>
    </row>
    <row r="31" spans="1:12" s="1" customFormat="1" x14ac:dyDescent="0.2">
      <c r="A31" s="16" t="s">
        <v>514</v>
      </c>
      <c r="B31" s="16" t="s">
        <v>275</v>
      </c>
      <c r="C31" s="16">
        <v>2012</v>
      </c>
      <c r="D31" s="16">
        <v>112</v>
      </c>
      <c r="E31" s="16" t="s">
        <v>387</v>
      </c>
      <c r="F31" s="16"/>
      <c r="G31" s="28">
        <f>6500+21750</f>
        <v>28250</v>
      </c>
      <c r="H31" s="28">
        <v>11250</v>
      </c>
      <c r="I31" s="28">
        <v>10500</v>
      </c>
      <c r="J31" s="16" t="s">
        <v>478</v>
      </c>
      <c r="L31" s="2" t="s">
        <v>465</v>
      </c>
    </row>
    <row r="32" spans="1:12" s="1" customFormat="1" x14ac:dyDescent="0.2">
      <c r="A32" s="16" t="s">
        <v>360</v>
      </c>
      <c r="B32" s="16" t="s">
        <v>275</v>
      </c>
      <c r="C32" s="16">
        <v>2012</v>
      </c>
      <c r="D32" s="16">
        <v>112</v>
      </c>
      <c r="E32" s="16" t="s">
        <v>387</v>
      </c>
      <c r="F32" s="16"/>
      <c r="G32" s="28">
        <v>27750</v>
      </c>
      <c r="H32" s="28">
        <v>2250</v>
      </c>
      <c r="I32" s="28">
        <v>25500</v>
      </c>
      <c r="J32" s="16" t="s">
        <v>478</v>
      </c>
      <c r="L32" s="7">
        <f>SUM(H17:H26)</f>
        <v>300709</v>
      </c>
    </row>
    <row r="33" spans="1:14" s="1" customFormat="1" x14ac:dyDescent="0.2">
      <c r="A33" s="16" t="s">
        <v>314</v>
      </c>
      <c r="B33" s="16" t="s">
        <v>279</v>
      </c>
      <c r="C33" s="16">
        <v>2012</v>
      </c>
      <c r="D33" s="16">
        <v>112</v>
      </c>
      <c r="E33" s="16" t="s">
        <v>386</v>
      </c>
      <c r="F33" s="16"/>
      <c r="G33" s="28">
        <f>2500+24500</f>
        <v>27000</v>
      </c>
      <c r="H33" s="28">
        <v>24500</v>
      </c>
      <c r="I33" s="28">
        <v>0</v>
      </c>
      <c r="J33" s="16" t="s">
        <v>414</v>
      </c>
    </row>
    <row r="34" spans="1:14" s="2" customFormat="1" x14ac:dyDescent="0.2">
      <c r="A34" s="16" t="s">
        <v>299</v>
      </c>
      <c r="B34" s="16" t="s">
        <v>275</v>
      </c>
      <c r="C34" s="16">
        <v>2012</v>
      </c>
      <c r="D34" s="16">
        <v>112</v>
      </c>
      <c r="E34" s="16" t="s">
        <v>386</v>
      </c>
      <c r="F34" s="16"/>
      <c r="G34" s="28">
        <f>1000+26000</f>
        <v>27000</v>
      </c>
      <c r="H34" s="28">
        <v>26000</v>
      </c>
      <c r="I34" s="28">
        <v>0</v>
      </c>
      <c r="J34" s="16" t="s">
        <v>414</v>
      </c>
      <c r="N34" s="1" t="s">
        <v>46</v>
      </c>
    </row>
    <row r="35" spans="1:14" s="1" customFormat="1" x14ac:dyDescent="0.2">
      <c r="A35" s="16" t="s">
        <v>367</v>
      </c>
      <c r="B35" s="16" t="s">
        <v>279</v>
      </c>
      <c r="C35" s="16">
        <v>2012</v>
      </c>
      <c r="D35" s="16">
        <v>112</v>
      </c>
      <c r="E35" s="16" t="s">
        <v>386</v>
      </c>
      <c r="F35" s="16"/>
      <c r="G35" s="28">
        <f>6250+20500</f>
        <v>26750</v>
      </c>
      <c r="H35" s="28">
        <v>20500</v>
      </c>
      <c r="I35" s="28">
        <v>0</v>
      </c>
      <c r="J35" s="16"/>
    </row>
    <row r="36" spans="1:14" s="1" customFormat="1" x14ac:dyDescent="0.2">
      <c r="A36" s="16" t="s">
        <v>371</v>
      </c>
      <c r="B36" s="16" t="s">
        <v>279</v>
      </c>
      <c r="C36" s="16">
        <v>2012</v>
      </c>
      <c r="D36" s="16">
        <v>112</v>
      </c>
      <c r="E36" s="16" t="s">
        <v>386</v>
      </c>
      <c r="F36" s="16"/>
      <c r="G36" s="28">
        <f>7500+18500</f>
        <v>26000</v>
      </c>
      <c r="H36" s="28">
        <v>18500</v>
      </c>
      <c r="I36" s="28">
        <v>0</v>
      </c>
      <c r="J36" s="16"/>
      <c r="N36" s="2" t="s">
        <v>452</v>
      </c>
    </row>
    <row r="37" spans="1:14" s="1" customFormat="1" x14ac:dyDescent="0.2">
      <c r="A37" s="16" t="s">
        <v>509</v>
      </c>
      <c r="B37" s="16" t="s">
        <v>275</v>
      </c>
      <c r="C37" s="16">
        <v>2012</v>
      </c>
      <c r="D37" s="16">
        <v>112</v>
      </c>
      <c r="E37" s="16" t="s">
        <v>387</v>
      </c>
      <c r="F37" s="16" t="s">
        <v>494</v>
      </c>
      <c r="G37" s="28">
        <f>1000+24500</f>
        <v>25500</v>
      </c>
      <c r="H37" s="28">
        <v>17500</v>
      </c>
      <c r="I37" s="28">
        <v>7000</v>
      </c>
      <c r="J37" s="16" t="s">
        <v>478</v>
      </c>
      <c r="N37" s="7">
        <f>L6+L57</f>
        <v>5301689</v>
      </c>
    </row>
    <row r="38" spans="1:14" s="2" customFormat="1" x14ac:dyDescent="0.2">
      <c r="A38" s="16" t="s">
        <v>287</v>
      </c>
      <c r="B38" s="16" t="s">
        <v>275</v>
      </c>
      <c r="C38" s="16">
        <v>2012</v>
      </c>
      <c r="D38" s="16">
        <v>112</v>
      </c>
      <c r="E38" s="16" t="s">
        <v>386</v>
      </c>
      <c r="F38" s="16"/>
      <c r="G38" s="28">
        <f>1000+23500</f>
        <v>24500</v>
      </c>
      <c r="H38" s="28">
        <v>26000</v>
      </c>
      <c r="I38" s="28">
        <v>-2500</v>
      </c>
      <c r="J38" s="16"/>
      <c r="L38" s="11"/>
      <c r="N38" s="2" t="s">
        <v>419</v>
      </c>
    </row>
    <row r="39" spans="1:14" s="1" customFormat="1" x14ac:dyDescent="0.2">
      <c r="A39" s="16" t="s">
        <v>323</v>
      </c>
      <c r="B39" s="16" t="s">
        <v>279</v>
      </c>
      <c r="C39" s="16">
        <v>2012</v>
      </c>
      <c r="D39" s="16">
        <v>112</v>
      </c>
      <c r="E39" s="16" t="s">
        <v>386</v>
      </c>
      <c r="F39" s="16"/>
      <c r="G39" s="28">
        <v>24250</v>
      </c>
      <c r="H39" s="28">
        <v>23750</v>
      </c>
      <c r="I39" s="28">
        <v>500</v>
      </c>
      <c r="J39" s="16"/>
      <c r="L39" s="14"/>
      <c r="N39" s="7">
        <f>L8+L59</f>
        <v>1565462</v>
      </c>
    </row>
    <row r="40" spans="1:14" x14ac:dyDescent="0.2">
      <c r="A40" s="16" t="s">
        <v>366</v>
      </c>
      <c r="B40" s="16" t="s">
        <v>279</v>
      </c>
      <c r="C40" s="16">
        <v>2012</v>
      </c>
      <c r="D40" s="16">
        <v>112</v>
      </c>
      <c r="E40" s="16" t="s">
        <v>386</v>
      </c>
      <c r="F40" s="16"/>
      <c r="G40" s="28">
        <f>2000+22000</f>
        <v>24000</v>
      </c>
      <c r="H40" s="28">
        <v>22000</v>
      </c>
      <c r="I40" s="28">
        <v>0</v>
      </c>
      <c r="J40" s="16" t="s">
        <v>414</v>
      </c>
      <c r="L40" s="12"/>
      <c r="N40" s="2" t="s">
        <v>454</v>
      </c>
    </row>
    <row r="41" spans="1:14" x14ac:dyDescent="0.2">
      <c r="A41" s="16" t="s">
        <v>379</v>
      </c>
      <c r="B41" s="16" t="s">
        <v>279</v>
      </c>
      <c r="C41" s="16">
        <v>2012</v>
      </c>
      <c r="D41" s="16">
        <v>112</v>
      </c>
      <c r="E41" s="16" t="s">
        <v>387</v>
      </c>
      <c r="F41" s="16"/>
      <c r="G41" s="28">
        <f>2000+19000</f>
        <v>21000</v>
      </c>
      <c r="H41" s="28">
        <v>8000</v>
      </c>
      <c r="I41" s="28">
        <v>11000</v>
      </c>
      <c r="J41" s="16" t="s">
        <v>478</v>
      </c>
      <c r="L41" s="1"/>
      <c r="N41" s="7">
        <f>L10+L61</f>
        <v>3750987</v>
      </c>
    </row>
    <row r="42" spans="1:14" s="1" customFormat="1" x14ac:dyDescent="0.2">
      <c r="A42" s="16" t="s">
        <v>377</v>
      </c>
      <c r="B42" s="16" t="s">
        <v>275</v>
      </c>
      <c r="C42" s="16">
        <v>2012</v>
      </c>
      <c r="D42" s="16">
        <v>112</v>
      </c>
      <c r="E42" s="16" t="s">
        <v>386</v>
      </c>
      <c r="F42" s="16"/>
      <c r="G42" s="28">
        <v>21000</v>
      </c>
      <c r="H42" s="28">
        <v>18500</v>
      </c>
      <c r="I42" s="28">
        <v>2500</v>
      </c>
      <c r="J42" s="16" t="s">
        <v>414</v>
      </c>
      <c r="L42" s="13"/>
      <c r="N42" s="2" t="s">
        <v>456</v>
      </c>
    </row>
    <row r="43" spans="1:14" x14ac:dyDescent="0.2">
      <c r="A43" s="16" t="s">
        <v>513</v>
      </c>
      <c r="B43" s="16" t="s">
        <v>275</v>
      </c>
      <c r="C43" s="16">
        <v>2012</v>
      </c>
      <c r="D43" s="16">
        <v>112</v>
      </c>
      <c r="E43" s="16" t="s">
        <v>387</v>
      </c>
      <c r="F43" s="16"/>
      <c r="G43" s="28">
        <f>8000+13000</f>
        <v>21000</v>
      </c>
      <c r="H43" s="28">
        <v>13000</v>
      </c>
      <c r="I43" s="28">
        <v>0</v>
      </c>
      <c r="J43" s="16" t="s">
        <v>478</v>
      </c>
      <c r="L43" s="15"/>
      <c r="N43" s="7">
        <f>L12+L63</f>
        <v>1550702</v>
      </c>
    </row>
    <row r="44" spans="1:14" x14ac:dyDescent="0.2">
      <c r="A44" s="16" t="s">
        <v>306</v>
      </c>
      <c r="B44" s="16" t="s">
        <v>275</v>
      </c>
      <c r="C44" s="16">
        <v>2012</v>
      </c>
      <c r="D44" s="16">
        <v>112</v>
      </c>
      <c r="E44" s="16" t="s">
        <v>386</v>
      </c>
      <c r="F44" s="16"/>
      <c r="G44" s="28">
        <f>500+18000</f>
        <v>18500</v>
      </c>
      <c r="H44" s="28">
        <v>20500</v>
      </c>
      <c r="I44" s="28">
        <v>-2500</v>
      </c>
      <c r="J44" s="16"/>
      <c r="N44" s="2" t="s">
        <v>483</v>
      </c>
    </row>
    <row r="45" spans="1:14" s="1" customFormat="1" x14ac:dyDescent="0.2">
      <c r="A45" s="16" t="s">
        <v>276</v>
      </c>
      <c r="B45" s="16" t="s">
        <v>275</v>
      </c>
      <c r="C45" s="16">
        <v>2012</v>
      </c>
      <c r="D45" s="16">
        <v>112</v>
      </c>
      <c r="E45" s="16" t="s">
        <v>386</v>
      </c>
      <c r="F45" s="16"/>
      <c r="G45" s="28">
        <f>5700+12245</f>
        <v>17945</v>
      </c>
      <c r="H45" s="28">
        <v>12245</v>
      </c>
      <c r="I45" s="28">
        <v>0</v>
      </c>
      <c r="J45" s="16" t="s">
        <v>414</v>
      </c>
      <c r="N45" s="7">
        <f>L65+L14</f>
        <v>1111182</v>
      </c>
    </row>
    <row r="46" spans="1:14" x14ac:dyDescent="0.2">
      <c r="A46" s="16" t="s">
        <v>374</v>
      </c>
      <c r="B46" s="16" t="s">
        <v>279</v>
      </c>
      <c r="C46" s="16">
        <v>2012</v>
      </c>
      <c r="D46" s="16">
        <v>112</v>
      </c>
      <c r="E46" s="16" t="s">
        <v>386</v>
      </c>
      <c r="F46" s="16"/>
      <c r="G46" s="28">
        <f>2000+15000</f>
        <v>17000</v>
      </c>
      <c r="H46" s="28">
        <v>15000</v>
      </c>
      <c r="I46" s="28">
        <v>0</v>
      </c>
      <c r="J46" s="16" t="s">
        <v>414</v>
      </c>
      <c r="N46" s="2" t="s">
        <v>484</v>
      </c>
    </row>
    <row r="47" spans="1:14" s="1" customFormat="1" x14ac:dyDescent="0.2">
      <c r="A47" s="16" t="s">
        <v>296</v>
      </c>
      <c r="B47" s="16" t="s">
        <v>275</v>
      </c>
      <c r="C47" s="16">
        <v>2012</v>
      </c>
      <c r="D47" s="16">
        <v>112</v>
      </c>
      <c r="E47" s="16" t="s">
        <v>386</v>
      </c>
      <c r="F47" s="16"/>
      <c r="G47" s="28">
        <f>1000+15000</f>
        <v>16000</v>
      </c>
      <c r="H47" s="28">
        <v>15000</v>
      </c>
      <c r="I47" s="28">
        <v>0</v>
      </c>
      <c r="J47" s="16" t="s">
        <v>414</v>
      </c>
      <c r="N47" s="7">
        <f>L16+L67</f>
        <v>454280</v>
      </c>
    </row>
    <row r="48" spans="1:14" x14ac:dyDescent="0.2">
      <c r="A48" s="16" t="s">
        <v>364</v>
      </c>
      <c r="B48" s="16" t="s">
        <v>279</v>
      </c>
      <c r="C48" s="16">
        <v>2012</v>
      </c>
      <c r="D48" s="16">
        <v>112</v>
      </c>
      <c r="E48" s="16" t="s">
        <v>386</v>
      </c>
      <c r="F48" s="16"/>
      <c r="G48" s="28">
        <f>3500+12250</f>
        <v>15750</v>
      </c>
      <c r="H48" s="28">
        <v>12250</v>
      </c>
      <c r="I48" s="28">
        <v>0</v>
      </c>
      <c r="J48" s="16"/>
      <c r="N48" s="2" t="s">
        <v>458</v>
      </c>
    </row>
    <row r="49" spans="1:14" s="1" customFormat="1" x14ac:dyDescent="0.2">
      <c r="A49" s="16" t="s">
        <v>301</v>
      </c>
      <c r="B49" s="16" t="s">
        <v>275</v>
      </c>
      <c r="C49" s="16">
        <v>2012</v>
      </c>
      <c r="D49" s="16">
        <v>112</v>
      </c>
      <c r="E49" s="16" t="s">
        <v>386</v>
      </c>
      <c r="F49" s="16"/>
      <c r="G49" s="28">
        <f>5000+10600</f>
        <v>15600</v>
      </c>
      <c r="H49" s="28">
        <v>10600</v>
      </c>
      <c r="I49" s="28">
        <v>0</v>
      </c>
      <c r="J49" s="16"/>
      <c r="N49" s="7">
        <f>L69+L18</f>
        <v>663050</v>
      </c>
    </row>
    <row r="50" spans="1:14" x14ac:dyDescent="0.2">
      <c r="A50" s="16" t="s">
        <v>506</v>
      </c>
      <c r="B50" s="16" t="s">
        <v>275</v>
      </c>
      <c r="C50" s="16">
        <v>2012</v>
      </c>
      <c r="D50" s="16">
        <v>112</v>
      </c>
      <c r="E50" s="16" t="s">
        <v>387</v>
      </c>
      <c r="F50" s="16"/>
      <c r="G50" s="28">
        <v>14549</v>
      </c>
      <c r="H50" s="28">
        <v>13299</v>
      </c>
      <c r="I50" s="28">
        <v>1250</v>
      </c>
      <c r="J50" s="16" t="s">
        <v>478</v>
      </c>
      <c r="N50" s="2" t="s">
        <v>460</v>
      </c>
    </row>
    <row r="51" spans="1:14" x14ac:dyDescent="0.2">
      <c r="A51" s="16" t="s">
        <v>278</v>
      </c>
      <c r="B51" s="16" t="s">
        <v>279</v>
      </c>
      <c r="C51" s="16">
        <v>2012</v>
      </c>
      <c r="D51" s="16">
        <v>112</v>
      </c>
      <c r="E51" s="16" t="s">
        <v>386</v>
      </c>
      <c r="F51" s="16"/>
      <c r="G51" s="28">
        <v>14500</v>
      </c>
      <c r="H51" s="28">
        <v>11000</v>
      </c>
      <c r="I51" s="28">
        <v>3500</v>
      </c>
      <c r="J51" s="16" t="s">
        <v>414</v>
      </c>
      <c r="N51" s="7">
        <f>L20+L71</f>
        <v>329299</v>
      </c>
    </row>
    <row r="52" spans="1:14" s="1" customFormat="1" x14ac:dyDescent="0.2">
      <c r="A52" s="16" t="s">
        <v>328</v>
      </c>
      <c r="B52" s="16" t="s">
        <v>279</v>
      </c>
      <c r="C52" s="16">
        <v>2012</v>
      </c>
      <c r="D52" s="16">
        <v>112</v>
      </c>
      <c r="E52" s="16" t="s">
        <v>386</v>
      </c>
      <c r="F52" s="16"/>
      <c r="G52" s="28">
        <v>14500</v>
      </c>
      <c r="H52" s="28">
        <v>14500</v>
      </c>
      <c r="I52" s="28">
        <v>0</v>
      </c>
      <c r="J52" s="16"/>
      <c r="N52" s="2" t="s">
        <v>475</v>
      </c>
    </row>
    <row r="53" spans="1:14" x14ac:dyDescent="0.2">
      <c r="A53" s="16" t="s">
        <v>310</v>
      </c>
      <c r="B53" s="16" t="s">
        <v>275</v>
      </c>
      <c r="C53" s="16">
        <v>2012</v>
      </c>
      <c r="D53" s="16">
        <v>112</v>
      </c>
      <c r="E53" s="16" t="s">
        <v>386</v>
      </c>
      <c r="F53" s="16"/>
      <c r="G53" s="28">
        <f>1000+13000</f>
        <v>14000</v>
      </c>
      <c r="H53" s="28">
        <v>13000</v>
      </c>
      <c r="I53" s="28">
        <v>0</v>
      </c>
      <c r="J53" s="16"/>
      <c r="N53" s="7">
        <f>L73+L22</f>
        <v>131500</v>
      </c>
    </row>
    <row r="54" spans="1:14" s="1" customFormat="1" x14ac:dyDescent="0.2">
      <c r="A54" s="16" t="s">
        <v>289</v>
      </c>
      <c r="B54" s="16" t="s">
        <v>275</v>
      </c>
      <c r="C54" s="16">
        <v>2012</v>
      </c>
      <c r="D54" s="16">
        <v>112</v>
      </c>
      <c r="E54" s="16" t="s">
        <v>386</v>
      </c>
      <c r="F54" s="16"/>
      <c r="G54" s="28">
        <f>1000+12500</f>
        <v>13500</v>
      </c>
      <c r="H54" s="28">
        <v>12500</v>
      </c>
      <c r="I54" s="28">
        <v>0</v>
      </c>
      <c r="J54" s="16" t="s">
        <v>414</v>
      </c>
      <c r="L54" s="1" t="s">
        <v>467</v>
      </c>
      <c r="N54" s="2" t="s">
        <v>485</v>
      </c>
    </row>
    <row r="55" spans="1:14" s="1" customFormat="1" x14ac:dyDescent="0.2">
      <c r="A55" s="16" t="s">
        <v>307</v>
      </c>
      <c r="B55" s="16" t="s">
        <v>279</v>
      </c>
      <c r="C55" s="16">
        <v>2012</v>
      </c>
      <c r="D55" s="16">
        <v>112</v>
      </c>
      <c r="E55" s="16" t="s">
        <v>386</v>
      </c>
      <c r="F55" s="16"/>
      <c r="G55" s="28">
        <v>13000</v>
      </c>
      <c r="H55" s="28">
        <v>13000</v>
      </c>
      <c r="I55" s="28">
        <v>0</v>
      </c>
      <c r="J55" s="16" t="s">
        <v>414</v>
      </c>
      <c r="N55" s="7">
        <f>L24+L75</f>
        <v>56750</v>
      </c>
    </row>
    <row r="56" spans="1:14" s="1" customFormat="1" x14ac:dyDescent="0.2">
      <c r="A56" s="16" t="s">
        <v>308</v>
      </c>
      <c r="B56" s="16" t="s">
        <v>275</v>
      </c>
      <c r="C56" s="16">
        <v>2012</v>
      </c>
      <c r="D56" s="16">
        <v>112</v>
      </c>
      <c r="E56" s="16" t="s">
        <v>386</v>
      </c>
      <c r="F56" s="16"/>
      <c r="G56" s="28">
        <f>7000+6000</f>
        <v>13000</v>
      </c>
      <c r="H56" s="28">
        <v>6000</v>
      </c>
      <c r="I56" s="28">
        <v>0</v>
      </c>
      <c r="J56" s="16"/>
      <c r="L56" t="s">
        <v>468</v>
      </c>
      <c r="N56" s="2" t="s">
        <v>462</v>
      </c>
    </row>
    <row r="57" spans="1:14" s="1" customFormat="1" x14ac:dyDescent="0.2">
      <c r="A57" s="16" t="s">
        <v>488</v>
      </c>
      <c r="B57" s="16" t="s">
        <v>279</v>
      </c>
      <c r="C57" s="16">
        <v>2012</v>
      </c>
      <c r="D57" s="16">
        <v>112</v>
      </c>
      <c r="E57" s="16" t="s">
        <v>386</v>
      </c>
      <c r="F57" s="16"/>
      <c r="G57" s="28">
        <v>12500</v>
      </c>
      <c r="H57" s="28">
        <v>12500</v>
      </c>
      <c r="I57" s="28">
        <v>0</v>
      </c>
      <c r="J57" s="16"/>
      <c r="L57" s="8">
        <f>SUM(G49:G62)+SUM(G74:G96)</f>
        <v>3608798</v>
      </c>
      <c r="N57" s="7">
        <f>L26+L77</f>
        <v>2654787</v>
      </c>
    </row>
    <row r="58" spans="1:14" s="1" customFormat="1" x14ac:dyDescent="0.2">
      <c r="A58" s="16" t="s">
        <v>283</v>
      </c>
      <c r="B58" s="16" t="s">
        <v>279</v>
      </c>
      <c r="C58" s="16">
        <v>2012</v>
      </c>
      <c r="D58" s="16">
        <v>112</v>
      </c>
      <c r="E58" s="16" t="s">
        <v>386</v>
      </c>
      <c r="F58" s="16"/>
      <c r="G58" s="28">
        <f>1000+10500</f>
        <v>11500</v>
      </c>
      <c r="H58" s="28">
        <v>9500</v>
      </c>
      <c r="I58" s="28">
        <v>1000</v>
      </c>
      <c r="J58" s="16"/>
      <c r="L58" t="s">
        <v>418</v>
      </c>
      <c r="N58" s="2" t="s">
        <v>464</v>
      </c>
    </row>
    <row r="59" spans="1:14" x14ac:dyDescent="0.2">
      <c r="A59" s="16" t="s">
        <v>490</v>
      </c>
      <c r="B59" s="16" t="s">
        <v>279</v>
      </c>
      <c r="C59" s="16">
        <v>2012</v>
      </c>
      <c r="D59" s="16">
        <v>112</v>
      </c>
      <c r="E59" s="16" t="s">
        <v>386</v>
      </c>
      <c r="F59" s="16"/>
      <c r="G59" s="28">
        <f>1500+7000</f>
        <v>8500</v>
      </c>
      <c r="H59" s="28">
        <v>5000</v>
      </c>
      <c r="I59" s="28">
        <v>2000</v>
      </c>
      <c r="J59" s="16"/>
      <c r="L59" s="8">
        <f>SUM(G63:G73)+SUM(G97:G107)</f>
        <v>911987</v>
      </c>
      <c r="N59" s="7">
        <f>L79+L28</f>
        <v>1026153</v>
      </c>
    </row>
    <row r="60" spans="1:14" x14ac:dyDescent="0.2">
      <c r="A60" s="16" t="s">
        <v>376</v>
      </c>
      <c r="B60" s="16" t="s">
        <v>279</v>
      </c>
      <c r="C60" s="16">
        <v>2012</v>
      </c>
      <c r="D60" s="16">
        <v>112</v>
      </c>
      <c r="E60" s="16" t="s">
        <v>386</v>
      </c>
      <c r="F60" s="16"/>
      <c r="G60" s="28">
        <f>1000+7250</f>
        <v>8250</v>
      </c>
      <c r="H60" s="28">
        <v>7250</v>
      </c>
      <c r="I60" s="28">
        <v>0</v>
      </c>
      <c r="J60" s="16"/>
      <c r="L60" t="s">
        <v>453</v>
      </c>
      <c r="N60" s="2" t="s">
        <v>486</v>
      </c>
    </row>
    <row r="61" spans="1:14" x14ac:dyDescent="0.2">
      <c r="A61" s="16" t="s">
        <v>380</v>
      </c>
      <c r="B61" s="16" t="s">
        <v>279</v>
      </c>
      <c r="C61" s="16">
        <v>2012</v>
      </c>
      <c r="D61" s="16">
        <v>112</v>
      </c>
      <c r="E61" s="16" t="s">
        <v>387</v>
      </c>
      <c r="F61" s="16"/>
      <c r="G61" s="28">
        <v>8000</v>
      </c>
      <c r="H61" s="28">
        <v>1000</v>
      </c>
      <c r="I61" s="28">
        <v>7000</v>
      </c>
      <c r="J61" s="16" t="s">
        <v>478</v>
      </c>
      <c r="L61" s="8">
        <f>SUM(G74:G96)</f>
        <v>3439649</v>
      </c>
      <c r="N61" s="7">
        <f>L30+L81</f>
        <v>872382</v>
      </c>
    </row>
    <row r="62" spans="1:14" x14ac:dyDescent="0.2">
      <c r="A62" s="16" t="s">
        <v>373</v>
      </c>
      <c r="B62" s="16" t="s">
        <v>279</v>
      </c>
      <c r="C62" s="16">
        <v>2012</v>
      </c>
      <c r="D62" s="16">
        <v>112</v>
      </c>
      <c r="E62" s="16" t="s">
        <v>386</v>
      </c>
      <c r="F62" s="16"/>
      <c r="G62" s="28">
        <v>7750</v>
      </c>
      <c r="H62" s="28">
        <v>7750</v>
      </c>
      <c r="I62" s="28">
        <v>0</v>
      </c>
      <c r="J62" s="16"/>
      <c r="L62" t="s">
        <v>455</v>
      </c>
      <c r="N62" s="2" t="s">
        <v>465</v>
      </c>
    </row>
    <row r="63" spans="1:14" x14ac:dyDescent="0.2">
      <c r="A63" s="16" t="s">
        <v>493</v>
      </c>
      <c r="B63" s="16" t="s">
        <v>275</v>
      </c>
      <c r="C63" s="16">
        <v>2012</v>
      </c>
      <c r="D63" s="16">
        <v>112</v>
      </c>
      <c r="E63" s="16" t="s">
        <v>386</v>
      </c>
      <c r="F63" s="16" t="s">
        <v>280</v>
      </c>
      <c r="G63" s="28">
        <v>5000</v>
      </c>
      <c r="H63" s="28">
        <v>5000</v>
      </c>
      <c r="I63" s="28">
        <v>0</v>
      </c>
      <c r="J63" s="16" t="s">
        <v>414</v>
      </c>
      <c r="L63" s="8">
        <f>SUM(G49:G62)</f>
        <v>169149</v>
      </c>
      <c r="N63" s="7">
        <f>L83+L32</f>
        <v>322459</v>
      </c>
    </row>
    <row r="64" spans="1:14" x14ac:dyDescent="0.2">
      <c r="A64" s="16" t="s">
        <v>378</v>
      </c>
      <c r="B64" s="16" t="s">
        <v>275</v>
      </c>
      <c r="C64" s="16">
        <v>2012</v>
      </c>
      <c r="D64" s="16">
        <v>112</v>
      </c>
      <c r="E64" s="16" t="s">
        <v>387</v>
      </c>
      <c r="F64" s="16"/>
      <c r="G64" s="28">
        <v>5000</v>
      </c>
      <c r="H64" s="28">
        <v>5000</v>
      </c>
      <c r="I64" s="28">
        <v>0</v>
      </c>
      <c r="J64" s="16" t="s">
        <v>478</v>
      </c>
      <c r="L64" t="s">
        <v>469</v>
      </c>
    </row>
    <row r="65" spans="1:14" x14ac:dyDescent="0.2">
      <c r="A65" s="16" t="s">
        <v>295</v>
      </c>
      <c r="B65" s="16" t="s">
        <v>275</v>
      </c>
      <c r="C65" s="16">
        <v>2012</v>
      </c>
      <c r="D65" s="16">
        <v>112</v>
      </c>
      <c r="E65" s="16" t="s">
        <v>386</v>
      </c>
      <c r="F65" s="16"/>
      <c r="G65" s="28">
        <v>2500</v>
      </c>
      <c r="H65" s="28">
        <v>2500</v>
      </c>
      <c r="I65" s="28">
        <v>0</v>
      </c>
      <c r="J65" s="16"/>
      <c r="L65" s="8">
        <f>SUM(G97:G107)</f>
        <v>890237</v>
      </c>
    </row>
    <row r="66" spans="1:14" x14ac:dyDescent="0.2">
      <c r="A66" s="16" t="s">
        <v>515</v>
      </c>
      <c r="B66" s="16" t="s">
        <v>279</v>
      </c>
      <c r="C66" s="16">
        <v>2012</v>
      </c>
      <c r="D66" s="16">
        <v>112</v>
      </c>
      <c r="E66" s="16" t="s">
        <v>387</v>
      </c>
      <c r="F66" s="16"/>
      <c r="G66" s="28">
        <v>2000</v>
      </c>
      <c r="H66" s="28">
        <v>2000</v>
      </c>
      <c r="I66" s="28">
        <v>0</v>
      </c>
      <c r="J66" s="16" t="s">
        <v>478</v>
      </c>
      <c r="L66" t="s">
        <v>470</v>
      </c>
      <c r="N66" t="s">
        <v>47</v>
      </c>
    </row>
    <row r="67" spans="1:14" x14ac:dyDescent="0.2">
      <c r="A67" s="16" t="s">
        <v>324</v>
      </c>
      <c r="B67" s="16" t="s">
        <v>275</v>
      </c>
      <c r="C67" s="16">
        <v>2012</v>
      </c>
      <c r="D67" s="16">
        <v>112</v>
      </c>
      <c r="E67" s="16" t="s">
        <v>386</v>
      </c>
      <c r="F67" s="16"/>
      <c r="G67" s="28">
        <v>2000</v>
      </c>
      <c r="H67" s="28">
        <v>2000</v>
      </c>
      <c r="I67" s="28">
        <v>0</v>
      </c>
      <c r="J67" s="16" t="s">
        <v>414</v>
      </c>
      <c r="L67" s="8">
        <f>SUM(G63:G73)</f>
        <v>21750</v>
      </c>
      <c r="N67" s="8">
        <f>SUM(G2:G16)+SUM(G27:G37)+SUM(G49:G62)+SUM(G74:G96)+SUM(G108:G158)</f>
        <v>6619596</v>
      </c>
    </row>
    <row r="68" spans="1:14" x14ac:dyDescent="0.2">
      <c r="A68" s="16" t="s">
        <v>368</v>
      </c>
      <c r="B68" s="16" t="s">
        <v>279</v>
      </c>
      <c r="C68" s="16">
        <v>2012</v>
      </c>
      <c r="D68" s="16">
        <v>112</v>
      </c>
      <c r="E68" s="16" t="s">
        <v>386</v>
      </c>
      <c r="F68" s="16"/>
      <c r="G68" s="28">
        <v>1500</v>
      </c>
      <c r="H68" s="28">
        <v>1500</v>
      </c>
      <c r="I68" s="28">
        <v>0</v>
      </c>
      <c r="J68" s="16"/>
      <c r="L68" t="s">
        <v>457</v>
      </c>
    </row>
    <row r="69" spans="1:14" x14ac:dyDescent="0.2">
      <c r="A69" s="16" t="s">
        <v>375</v>
      </c>
      <c r="B69" s="16" t="s">
        <v>279</v>
      </c>
      <c r="C69" s="16">
        <v>2012</v>
      </c>
      <c r="D69" s="16">
        <v>112</v>
      </c>
      <c r="E69" s="16" t="s">
        <v>386</v>
      </c>
      <c r="F69" s="16"/>
      <c r="G69" s="28">
        <v>1500</v>
      </c>
      <c r="H69" s="28">
        <v>1500</v>
      </c>
      <c r="I69" s="28">
        <v>0</v>
      </c>
      <c r="J69" s="16"/>
      <c r="L69" s="8">
        <f>SUM(I74:I96)</f>
        <v>579550</v>
      </c>
    </row>
    <row r="70" spans="1:14" x14ac:dyDescent="0.2">
      <c r="A70" s="16" t="s">
        <v>370</v>
      </c>
      <c r="B70" s="16" t="s">
        <v>279</v>
      </c>
      <c r="C70" s="16">
        <v>2012</v>
      </c>
      <c r="D70" s="16">
        <v>112</v>
      </c>
      <c r="E70" s="16" t="s">
        <v>386</v>
      </c>
      <c r="F70" s="16"/>
      <c r="G70" s="28">
        <v>1000</v>
      </c>
      <c r="H70" s="28">
        <v>1000</v>
      </c>
      <c r="I70" s="28">
        <v>0</v>
      </c>
      <c r="J70" s="16"/>
      <c r="L70" t="s">
        <v>459</v>
      </c>
      <c r="N70" s="9"/>
    </row>
    <row r="71" spans="1:14" x14ac:dyDescent="0.2">
      <c r="A71" s="16" t="s">
        <v>320</v>
      </c>
      <c r="B71" s="16" t="s">
        <v>275</v>
      </c>
      <c r="C71" s="16">
        <v>2012</v>
      </c>
      <c r="D71" s="16">
        <v>112</v>
      </c>
      <c r="E71" s="16" t="s">
        <v>386</v>
      </c>
      <c r="F71" s="16"/>
      <c r="G71" s="28">
        <v>500</v>
      </c>
      <c r="H71" s="28">
        <v>500</v>
      </c>
      <c r="I71" s="28">
        <v>0</v>
      </c>
      <c r="J71" s="16" t="s">
        <v>414</v>
      </c>
      <c r="L71" s="8">
        <f>SUM(I49:I62)</f>
        <v>14750</v>
      </c>
    </row>
    <row r="72" spans="1:14" x14ac:dyDescent="0.2">
      <c r="A72" s="16" t="s">
        <v>290</v>
      </c>
      <c r="B72" s="16" t="s">
        <v>275</v>
      </c>
      <c r="C72" s="16">
        <v>2012</v>
      </c>
      <c r="D72" s="16">
        <v>112</v>
      </c>
      <c r="E72" s="16" t="s">
        <v>386</v>
      </c>
      <c r="F72" s="16"/>
      <c r="G72" s="28">
        <v>500</v>
      </c>
      <c r="H72" s="28">
        <v>500</v>
      </c>
      <c r="I72" s="28">
        <v>0</v>
      </c>
      <c r="J72" s="16"/>
      <c r="L72" t="s">
        <v>474</v>
      </c>
    </row>
    <row r="73" spans="1:14" x14ac:dyDescent="0.2">
      <c r="A73" s="16" t="s">
        <v>363</v>
      </c>
      <c r="B73" s="16" t="s">
        <v>516</v>
      </c>
      <c r="C73" s="16">
        <v>2012</v>
      </c>
      <c r="D73" s="16">
        <v>112</v>
      </c>
      <c r="E73" s="16" t="s">
        <v>387</v>
      </c>
      <c r="F73" s="16"/>
      <c r="G73" s="28">
        <v>250</v>
      </c>
      <c r="H73" s="28">
        <v>250</v>
      </c>
      <c r="I73" s="28">
        <v>0</v>
      </c>
      <c r="J73" s="16" t="s">
        <v>478</v>
      </c>
      <c r="L73" s="8">
        <f>SUM(I97:I107)</f>
        <v>122500</v>
      </c>
    </row>
    <row r="74" spans="1:14" x14ac:dyDescent="0.2">
      <c r="A74" s="16" t="s">
        <v>500</v>
      </c>
      <c r="B74" s="16" t="s">
        <v>275</v>
      </c>
      <c r="C74" s="16">
        <v>2012</v>
      </c>
      <c r="D74" s="16">
        <v>112</v>
      </c>
      <c r="E74" s="16" t="s">
        <v>387</v>
      </c>
      <c r="F74" s="16"/>
      <c r="G74" s="28">
        <v>-1000</v>
      </c>
      <c r="H74" s="28">
        <v>-1000</v>
      </c>
      <c r="I74" s="28">
        <v>0</v>
      </c>
      <c r="J74" s="16" t="s">
        <v>478</v>
      </c>
      <c r="L74" t="s">
        <v>471</v>
      </c>
    </row>
    <row r="75" spans="1:14" x14ac:dyDescent="0.2">
      <c r="A75" s="16" t="s">
        <v>501</v>
      </c>
      <c r="B75" s="16" t="s">
        <v>279</v>
      </c>
      <c r="C75" s="16">
        <v>2010</v>
      </c>
      <c r="D75" s="16">
        <v>111</v>
      </c>
      <c r="E75" s="16" t="s">
        <v>387</v>
      </c>
      <c r="F75" s="16"/>
      <c r="G75" s="28">
        <f>37000+324126</f>
        <v>361126</v>
      </c>
      <c r="H75" s="28">
        <v>262626</v>
      </c>
      <c r="I75" s="28">
        <v>61500</v>
      </c>
      <c r="J75" s="16" t="s">
        <v>482</v>
      </c>
      <c r="L75" s="8">
        <f>SUM(I63:I73)</f>
        <v>0</v>
      </c>
    </row>
    <row r="76" spans="1:14" x14ac:dyDescent="0.2">
      <c r="A76" s="16" t="s">
        <v>510</v>
      </c>
      <c r="B76" s="16" t="s">
        <v>279</v>
      </c>
      <c r="C76" s="16">
        <v>2010</v>
      </c>
      <c r="D76" s="16">
        <v>111</v>
      </c>
      <c r="E76" s="16" t="s">
        <v>387</v>
      </c>
      <c r="F76" s="16"/>
      <c r="G76" s="28">
        <f>33500+260784</f>
        <v>294284</v>
      </c>
      <c r="H76" s="28">
        <v>188784</v>
      </c>
      <c r="I76" s="28">
        <v>72000</v>
      </c>
      <c r="J76" s="16" t="s">
        <v>478</v>
      </c>
      <c r="L76" t="s">
        <v>461</v>
      </c>
      <c r="N76" s="1"/>
    </row>
    <row r="77" spans="1:14" x14ac:dyDescent="0.2">
      <c r="A77" s="16" t="s">
        <v>297</v>
      </c>
      <c r="B77" s="16" t="s">
        <v>275</v>
      </c>
      <c r="C77" s="16">
        <v>2010</v>
      </c>
      <c r="D77" s="16">
        <v>111</v>
      </c>
      <c r="E77" s="16" t="s">
        <v>386</v>
      </c>
      <c r="F77" s="16"/>
      <c r="G77" s="28">
        <f>41550+167100</f>
        <v>208650</v>
      </c>
      <c r="H77" s="28">
        <v>167100</v>
      </c>
      <c r="I77" s="28">
        <v>0</v>
      </c>
      <c r="J77" s="16" t="s">
        <v>478</v>
      </c>
      <c r="L77" s="8">
        <f>SUM(H74:H96)</f>
        <v>2461199</v>
      </c>
    </row>
    <row r="78" spans="1:14" x14ac:dyDescent="0.2">
      <c r="A78" s="16" t="s">
        <v>360</v>
      </c>
      <c r="B78" s="16" t="s">
        <v>275</v>
      </c>
      <c r="C78" s="16">
        <v>2010</v>
      </c>
      <c r="D78" s="16">
        <v>111</v>
      </c>
      <c r="E78" s="16" t="s">
        <v>387</v>
      </c>
      <c r="F78" s="16"/>
      <c r="G78" s="28">
        <f>34300+160300</f>
        <v>194600</v>
      </c>
      <c r="H78" s="28">
        <v>139300</v>
      </c>
      <c r="I78" s="28">
        <v>21000</v>
      </c>
      <c r="J78" s="16" t="s">
        <v>481</v>
      </c>
      <c r="L78" t="s">
        <v>463</v>
      </c>
      <c r="N78" s="1"/>
    </row>
    <row r="79" spans="1:14" x14ac:dyDescent="0.2">
      <c r="A79" s="16" t="s">
        <v>319</v>
      </c>
      <c r="B79" s="16" t="s">
        <v>279</v>
      </c>
      <c r="C79" s="16">
        <v>2010</v>
      </c>
      <c r="D79" s="16">
        <v>111</v>
      </c>
      <c r="E79" s="16" t="s">
        <v>386</v>
      </c>
      <c r="F79" s="16"/>
      <c r="G79" s="28">
        <f>15250+158149</f>
        <v>173399</v>
      </c>
      <c r="H79" s="28">
        <v>103349</v>
      </c>
      <c r="I79" s="28">
        <v>54800</v>
      </c>
      <c r="J79" s="16" t="s">
        <v>478</v>
      </c>
      <c r="L79" s="8">
        <f>SUM(H49:H62)</f>
        <v>136899</v>
      </c>
      <c r="N79" s="12"/>
    </row>
    <row r="80" spans="1:14" x14ac:dyDescent="0.2">
      <c r="A80" s="16" t="s">
        <v>282</v>
      </c>
      <c r="B80" s="16" t="s">
        <v>279</v>
      </c>
      <c r="C80" s="16">
        <v>2010</v>
      </c>
      <c r="D80" s="16">
        <v>111</v>
      </c>
      <c r="E80" s="16" t="s">
        <v>386</v>
      </c>
      <c r="F80" s="16"/>
      <c r="G80" s="28">
        <f>16750+147150</f>
        <v>163900</v>
      </c>
      <c r="H80" s="28">
        <v>137150</v>
      </c>
      <c r="I80" s="28">
        <v>10000</v>
      </c>
      <c r="J80" s="16" t="s">
        <v>478</v>
      </c>
      <c r="L80" t="s">
        <v>476</v>
      </c>
    </row>
    <row r="81" spans="1:14" x14ac:dyDescent="0.2">
      <c r="A81" s="16" t="s">
        <v>326</v>
      </c>
      <c r="B81" s="16" t="s">
        <v>279</v>
      </c>
      <c r="C81" s="16">
        <v>2010</v>
      </c>
      <c r="D81" s="16">
        <v>111</v>
      </c>
      <c r="E81" s="16" t="s">
        <v>386</v>
      </c>
      <c r="F81" s="16"/>
      <c r="G81" s="28">
        <f>16250+147108</f>
        <v>163358</v>
      </c>
      <c r="H81" s="28">
        <v>113858</v>
      </c>
      <c r="I81" s="28">
        <v>33250</v>
      </c>
      <c r="J81" s="16" t="s">
        <v>478</v>
      </c>
      <c r="L81" s="8">
        <f>SUM(H97:H107)</f>
        <v>686137</v>
      </c>
      <c r="N81" s="1"/>
    </row>
    <row r="82" spans="1:14" x14ac:dyDescent="0.2">
      <c r="A82" s="16" t="s">
        <v>514</v>
      </c>
      <c r="B82" s="16" t="s">
        <v>275</v>
      </c>
      <c r="C82" s="16">
        <v>2010</v>
      </c>
      <c r="D82" s="16">
        <v>111</v>
      </c>
      <c r="E82" s="16" t="s">
        <v>387</v>
      </c>
      <c r="F82" s="16"/>
      <c r="G82" s="28">
        <f>28000+134874</f>
        <v>162874</v>
      </c>
      <c r="H82" s="28">
        <v>115374</v>
      </c>
      <c r="I82" s="28">
        <v>19500</v>
      </c>
      <c r="J82" s="16" t="s">
        <v>481</v>
      </c>
      <c r="L82" t="s">
        <v>472</v>
      </c>
      <c r="N82" s="12"/>
    </row>
    <row r="83" spans="1:14" x14ac:dyDescent="0.2">
      <c r="A83" s="16" t="s">
        <v>508</v>
      </c>
      <c r="B83" s="16" t="s">
        <v>275</v>
      </c>
      <c r="C83" s="16">
        <v>2010</v>
      </c>
      <c r="D83" s="16">
        <v>111</v>
      </c>
      <c r="E83" s="16" t="s">
        <v>387</v>
      </c>
      <c r="F83" s="16"/>
      <c r="G83" s="28">
        <f>31500+121400</f>
        <v>152900</v>
      </c>
      <c r="H83" s="28">
        <v>43400</v>
      </c>
      <c r="I83" s="28">
        <v>78000</v>
      </c>
      <c r="J83" s="16" t="s">
        <v>481</v>
      </c>
      <c r="L83" s="8">
        <f>SUM(H63:H73)</f>
        <v>21750</v>
      </c>
    </row>
    <row r="84" spans="1:14" s="1" customFormat="1" x14ac:dyDescent="0.2">
      <c r="A84" s="16" t="s">
        <v>491</v>
      </c>
      <c r="B84" s="16" t="s">
        <v>279</v>
      </c>
      <c r="C84" s="16">
        <v>2010</v>
      </c>
      <c r="D84" s="16">
        <v>111</v>
      </c>
      <c r="E84" s="16" t="s">
        <v>386</v>
      </c>
      <c r="F84" s="16"/>
      <c r="G84" s="28">
        <f>12500+138100</f>
        <v>150600</v>
      </c>
      <c r="H84" s="28">
        <v>107600</v>
      </c>
      <c r="I84" s="28">
        <v>30500</v>
      </c>
      <c r="J84" s="16"/>
    </row>
    <row r="85" spans="1:14" s="1" customFormat="1" x14ac:dyDescent="0.2">
      <c r="A85" s="16" t="s">
        <v>278</v>
      </c>
      <c r="B85" s="16" t="s">
        <v>279</v>
      </c>
      <c r="C85" s="16">
        <v>2010</v>
      </c>
      <c r="D85" s="16">
        <v>111</v>
      </c>
      <c r="E85" s="16" t="s">
        <v>386</v>
      </c>
      <c r="F85" s="16" t="s">
        <v>280</v>
      </c>
      <c r="G85" s="28">
        <f>27000+122500</f>
        <v>149500</v>
      </c>
      <c r="H85" s="28">
        <v>75000</v>
      </c>
      <c r="I85" s="28">
        <v>47500</v>
      </c>
      <c r="J85" s="16"/>
    </row>
    <row r="86" spans="1:14" s="1" customFormat="1" x14ac:dyDescent="0.2">
      <c r="A86" s="16" t="s">
        <v>306</v>
      </c>
      <c r="B86" s="16" t="s">
        <v>275</v>
      </c>
      <c r="C86" s="16">
        <v>2010</v>
      </c>
      <c r="D86" s="16">
        <v>111</v>
      </c>
      <c r="E86" s="16" t="s">
        <v>386</v>
      </c>
      <c r="F86" s="16"/>
      <c r="G86" s="28">
        <f>14450+131600</f>
        <v>146050</v>
      </c>
      <c r="H86" s="28">
        <v>106100</v>
      </c>
      <c r="I86" s="28">
        <v>25500</v>
      </c>
      <c r="J86" s="16"/>
    </row>
    <row r="87" spans="1:14" s="2" customFormat="1" x14ac:dyDescent="0.2">
      <c r="A87" s="16" t="s">
        <v>309</v>
      </c>
      <c r="B87" s="16" t="s">
        <v>275</v>
      </c>
      <c r="C87" s="16">
        <v>2010</v>
      </c>
      <c r="D87" s="16">
        <v>111</v>
      </c>
      <c r="E87" s="16" t="s">
        <v>386</v>
      </c>
      <c r="F87" s="16"/>
      <c r="G87" s="28">
        <f>7000+133200</f>
        <v>140200</v>
      </c>
      <c r="H87" s="28">
        <v>121200</v>
      </c>
      <c r="I87" s="28">
        <v>12000</v>
      </c>
      <c r="J87" s="16" t="s">
        <v>478</v>
      </c>
    </row>
    <row r="88" spans="1:14" s="1" customFormat="1" x14ac:dyDescent="0.2">
      <c r="A88" s="16" t="s">
        <v>316</v>
      </c>
      <c r="B88" s="16" t="s">
        <v>275</v>
      </c>
      <c r="C88" s="16">
        <v>2010</v>
      </c>
      <c r="D88" s="16">
        <v>111</v>
      </c>
      <c r="E88" s="16" t="s">
        <v>386</v>
      </c>
      <c r="F88" s="16" t="s">
        <v>415</v>
      </c>
      <c r="G88" s="28">
        <f>17250+119400</f>
        <v>136650</v>
      </c>
      <c r="H88" s="28">
        <v>114400</v>
      </c>
      <c r="I88" s="28">
        <v>5000</v>
      </c>
      <c r="J88" s="16" t="s">
        <v>480</v>
      </c>
    </row>
    <row r="89" spans="1:14" s="1" customFormat="1" x14ac:dyDescent="0.2">
      <c r="A89" s="16" t="s">
        <v>305</v>
      </c>
      <c r="B89" s="16" t="s">
        <v>275</v>
      </c>
      <c r="C89" s="16">
        <v>2010</v>
      </c>
      <c r="D89" s="16">
        <v>111</v>
      </c>
      <c r="E89" s="16" t="s">
        <v>386</v>
      </c>
      <c r="F89" s="16"/>
      <c r="G89" s="28">
        <f>3000+112758</f>
        <v>115758</v>
      </c>
      <c r="H89" s="28">
        <v>112758</v>
      </c>
      <c r="I89" s="28">
        <v>0</v>
      </c>
      <c r="J89" s="16"/>
      <c r="L89" s="13"/>
    </row>
    <row r="90" spans="1:14" s="1" customFormat="1" x14ac:dyDescent="0.2">
      <c r="A90" s="16" t="s">
        <v>511</v>
      </c>
      <c r="B90" s="16" t="s">
        <v>279</v>
      </c>
      <c r="C90" s="16">
        <v>2010</v>
      </c>
      <c r="D90" s="16">
        <v>111</v>
      </c>
      <c r="E90" s="16" t="s">
        <v>387</v>
      </c>
      <c r="F90" s="16"/>
      <c r="G90" s="28">
        <f>9800+104000</f>
        <v>113800</v>
      </c>
      <c r="H90" s="28">
        <v>94500</v>
      </c>
      <c r="I90" s="28">
        <v>9500</v>
      </c>
      <c r="J90" s="16" t="s">
        <v>478</v>
      </c>
      <c r="L90" s="15"/>
    </row>
    <row r="91" spans="1:14" s="1" customFormat="1" x14ac:dyDescent="0.2">
      <c r="A91" s="16" t="s">
        <v>286</v>
      </c>
      <c r="B91" s="16" t="s">
        <v>279</v>
      </c>
      <c r="C91" s="16">
        <v>2010</v>
      </c>
      <c r="D91" s="16">
        <v>111</v>
      </c>
      <c r="E91" s="16" t="s">
        <v>386</v>
      </c>
      <c r="F91" s="16"/>
      <c r="G91" s="28">
        <f>14000+97750</f>
        <v>111750</v>
      </c>
      <c r="H91" s="28">
        <v>82750</v>
      </c>
      <c r="I91" s="28">
        <v>15000</v>
      </c>
      <c r="J91" s="16" t="s">
        <v>478</v>
      </c>
    </row>
    <row r="92" spans="1:14" x14ac:dyDescent="0.2">
      <c r="A92" s="16" t="s">
        <v>294</v>
      </c>
      <c r="B92" s="16" t="s">
        <v>275</v>
      </c>
      <c r="C92" s="16">
        <v>2010</v>
      </c>
      <c r="D92" s="16">
        <v>111</v>
      </c>
      <c r="E92" s="16" t="s">
        <v>386</v>
      </c>
      <c r="F92" s="16"/>
      <c r="G92" s="28">
        <f>8900+95500</f>
        <v>104400</v>
      </c>
      <c r="H92" s="28">
        <v>84000</v>
      </c>
      <c r="I92" s="28">
        <v>11500</v>
      </c>
      <c r="J92" s="16" t="s">
        <v>478</v>
      </c>
      <c r="L92" s="1"/>
    </row>
    <row r="93" spans="1:14" s="1" customFormat="1" x14ac:dyDescent="0.2">
      <c r="A93" s="16" t="s">
        <v>499</v>
      </c>
      <c r="B93" s="16" t="s">
        <v>275</v>
      </c>
      <c r="C93" s="16">
        <v>2010</v>
      </c>
      <c r="D93" s="16">
        <v>111</v>
      </c>
      <c r="E93" s="16" t="s">
        <v>387</v>
      </c>
      <c r="F93" s="16"/>
      <c r="G93" s="28">
        <f>500+100900</f>
        <v>101400</v>
      </c>
      <c r="H93" s="28">
        <v>100900</v>
      </c>
      <c r="I93" s="28">
        <v>0</v>
      </c>
      <c r="J93" s="16" t="s">
        <v>481</v>
      </c>
      <c r="L93" s="13"/>
    </row>
    <row r="94" spans="1:14" x14ac:dyDescent="0.2">
      <c r="A94" s="16" t="s">
        <v>492</v>
      </c>
      <c r="B94" s="16" t="s">
        <v>279</v>
      </c>
      <c r="C94" s="16">
        <v>2010</v>
      </c>
      <c r="D94" s="16">
        <v>111</v>
      </c>
      <c r="E94" s="16" t="s">
        <v>386</v>
      </c>
      <c r="F94" s="16"/>
      <c r="G94" s="28">
        <f>6000+94350</f>
        <v>100350</v>
      </c>
      <c r="H94" s="28">
        <v>74850</v>
      </c>
      <c r="I94" s="28">
        <v>19500</v>
      </c>
      <c r="J94" s="16"/>
      <c r="L94" s="15"/>
    </row>
    <row r="95" spans="1:14" s="1" customFormat="1" x14ac:dyDescent="0.2">
      <c r="A95" s="16" t="s">
        <v>504</v>
      </c>
      <c r="B95" s="16" t="s">
        <v>275</v>
      </c>
      <c r="C95" s="16">
        <v>2010</v>
      </c>
      <c r="D95" s="16">
        <v>111</v>
      </c>
      <c r="E95" s="16" t="s">
        <v>387</v>
      </c>
      <c r="F95" s="16"/>
      <c r="G95" s="28">
        <f>10900+87550</f>
        <v>98450</v>
      </c>
      <c r="H95" s="28">
        <v>84550</v>
      </c>
      <c r="I95" s="28">
        <v>3000</v>
      </c>
      <c r="J95" s="16" t="s">
        <v>481</v>
      </c>
    </row>
    <row r="96" spans="1:14" s="1" customFormat="1" x14ac:dyDescent="0.2">
      <c r="A96" s="16" t="s">
        <v>505</v>
      </c>
      <c r="B96" s="16" t="s">
        <v>279</v>
      </c>
      <c r="C96" s="16">
        <v>2010</v>
      </c>
      <c r="D96" s="16">
        <v>111</v>
      </c>
      <c r="E96" s="16" t="s">
        <v>387</v>
      </c>
      <c r="F96" s="16" t="s">
        <v>280</v>
      </c>
      <c r="G96" s="28">
        <f>13500+83150</f>
        <v>96650</v>
      </c>
      <c r="H96" s="28">
        <v>32650</v>
      </c>
      <c r="I96" s="28">
        <v>50500</v>
      </c>
      <c r="J96" s="16" t="s">
        <v>478</v>
      </c>
    </row>
    <row r="97" spans="1:14" s="2" customFormat="1" x14ac:dyDescent="0.2">
      <c r="A97" s="16" t="s">
        <v>503</v>
      </c>
      <c r="B97" s="16" t="s">
        <v>279</v>
      </c>
      <c r="C97" s="16">
        <v>2010</v>
      </c>
      <c r="D97" s="16">
        <v>111</v>
      </c>
      <c r="E97" s="16" t="s">
        <v>387</v>
      </c>
      <c r="F97" s="16"/>
      <c r="G97" s="28">
        <f>7500+85750</f>
        <v>93250</v>
      </c>
      <c r="H97" s="28">
        <v>83750</v>
      </c>
      <c r="I97" s="28">
        <v>2000</v>
      </c>
      <c r="J97" s="16" t="s">
        <v>478</v>
      </c>
    </row>
    <row r="98" spans="1:14" s="1" customFormat="1" x14ac:dyDescent="0.2">
      <c r="A98" s="16" t="s">
        <v>327</v>
      </c>
      <c r="B98" s="16" t="s">
        <v>275</v>
      </c>
      <c r="C98" s="16">
        <v>2010</v>
      </c>
      <c r="D98" s="16">
        <v>111</v>
      </c>
      <c r="E98" s="16" t="s">
        <v>386</v>
      </c>
      <c r="F98" s="16"/>
      <c r="G98" s="28">
        <f>15000+74070</f>
        <v>89070</v>
      </c>
      <c r="H98" s="28">
        <v>74070</v>
      </c>
      <c r="I98" s="28">
        <v>0</v>
      </c>
      <c r="J98" s="16" t="s">
        <v>478</v>
      </c>
    </row>
    <row r="99" spans="1:14" s="2" customFormat="1" x14ac:dyDescent="0.2">
      <c r="A99" s="16" t="s">
        <v>298</v>
      </c>
      <c r="B99" s="16" t="s">
        <v>279</v>
      </c>
      <c r="C99" s="16">
        <v>2010</v>
      </c>
      <c r="D99" s="16">
        <v>111</v>
      </c>
      <c r="E99" s="16" t="s">
        <v>386</v>
      </c>
      <c r="F99" s="16"/>
      <c r="G99" s="28">
        <f>8300+79800</f>
        <v>88100</v>
      </c>
      <c r="H99" s="28">
        <v>69800</v>
      </c>
      <c r="I99" s="28">
        <v>10000</v>
      </c>
      <c r="J99" s="16" t="s">
        <v>478</v>
      </c>
    </row>
    <row r="100" spans="1:14" s="1" customFormat="1" x14ac:dyDescent="0.2">
      <c r="A100" s="16" t="s">
        <v>502</v>
      </c>
      <c r="B100" s="16" t="s">
        <v>275</v>
      </c>
      <c r="C100" s="16">
        <v>2010</v>
      </c>
      <c r="D100" s="16">
        <v>111</v>
      </c>
      <c r="E100" s="16" t="s">
        <v>387</v>
      </c>
      <c r="F100" s="16"/>
      <c r="G100" s="28">
        <f>1500+81900</f>
        <v>83400</v>
      </c>
      <c r="H100" s="28">
        <v>66900</v>
      </c>
      <c r="I100" s="28">
        <v>15000</v>
      </c>
      <c r="J100" s="16" t="s">
        <v>481</v>
      </c>
    </row>
    <row r="101" spans="1:14" s="1" customFormat="1" x14ac:dyDescent="0.2">
      <c r="A101" s="16" t="s">
        <v>312</v>
      </c>
      <c r="B101" s="16" t="s">
        <v>275</v>
      </c>
      <c r="C101" s="16">
        <v>2010</v>
      </c>
      <c r="D101" s="16">
        <v>111</v>
      </c>
      <c r="E101" s="16" t="s">
        <v>386</v>
      </c>
      <c r="F101" s="16"/>
      <c r="G101" s="28">
        <f>7000+73250</f>
        <v>80250</v>
      </c>
      <c r="H101" s="28">
        <v>73250</v>
      </c>
      <c r="I101" s="28">
        <v>0</v>
      </c>
      <c r="J101" s="16"/>
    </row>
    <row r="102" spans="1:14" s="2" customFormat="1" x14ac:dyDescent="0.2">
      <c r="A102" s="16" t="s">
        <v>314</v>
      </c>
      <c r="B102" s="16" t="s">
        <v>279</v>
      </c>
      <c r="C102" s="16">
        <v>2010</v>
      </c>
      <c r="D102" s="16">
        <v>111</v>
      </c>
      <c r="E102" s="16" t="s">
        <v>386</v>
      </c>
      <c r="F102" s="16"/>
      <c r="G102" s="28">
        <f>8500+71000</f>
        <v>79500</v>
      </c>
      <c r="H102" s="28">
        <v>70000</v>
      </c>
      <c r="I102" s="28">
        <v>1000</v>
      </c>
      <c r="J102" s="16" t="s">
        <v>478</v>
      </c>
      <c r="L102" s="1"/>
    </row>
    <row r="103" spans="1:14" s="2" customFormat="1" x14ac:dyDescent="0.2">
      <c r="A103" s="16" t="s">
        <v>509</v>
      </c>
      <c r="B103" s="16" t="s">
        <v>275</v>
      </c>
      <c r="C103" s="16">
        <v>2010</v>
      </c>
      <c r="D103" s="16">
        <v>111</v>
      </c>
      <c r="E103" s="16" t="s">
        <v>387</v>
      </c>
      <c r="F103" s="16" t="s">
        <v>494</v>
      </c>
      <c r="G103" s="28">
        <f>7500+69350</f>
        <v>76850</v>
      </c>
      <c r="H103" s="28">
        <v>48850</v>
      </c>
      <c r="I103" s="28">
        <v>20500</v>
      </c>
      <c r="J103" s="16" t="s">
        <v>481</v>
      </c>
      <c r="L103" s="16"/>
      <c r="M103" s="7"/>
      <c r="N103" s="16"/>
    </row>
    <row r="104" spans="1:14" x14ac:dyDescent="0.2">
      <c r="A104" s="16" t="s">
        <v>281</v>
      </c>
      <c r="B104" s="16" t="s">
        <v>279</v>
      </c>
      <c r="C104" s="16">
        <v>2010</v>
      </c>
      <c r="D104" s="16">
        <v>111</v>
      </c>
      <c r="E104" s="16" t="s">
        <v>386</v>
      </c>
      <c r="F104" s="16"/>
      <c r="G104" s="28">
        <f>10300+66167</f>
        <v>76467</v>
      </c>
      <c r="H104" s="28">
        <v>65167</v>
      </c>
      <c r="I104" s="28">
        <v>1000</v>
      </c>
      <c r="J104" s="16" t="s">
        <v>478</v>
      </c>
      <c r="L104" s="16"/>
      <c r="M104" s="8"/>
    </row>
    <row r="105" spans="1:14" s="2" customFormat="1" x14ac:dyDescent="0.2">
      <c r="A105" s="16" t="s">
        <v>497</v>
      </c>
      <c r="B105" s="16" t="s">
        <v>279</v>
      </c>
      <c r="C105" s="16">
        <v>2010</v>
      </c>
      <c r="D105" s="16">
        <v>111</v>
      </c>
      <c r="E105" s="16" t="s">
        <v>386</v>
      </c>
      <c r="F105" s="16"/>
      <c r="G105" s="28">
        <f>7500+68500</f>
        <v>76000</v>
      </c>
      <c r="H105" s="28">
        <v>56000</v>
      </c>
      <c r="I105" s="28">
        <v>12500</v>
      </c>
      <c r="J105" s="16" t="s">
        <v>478</v>
      </c>
    </row>
    <row r="106" spans="1:14" s="2" customFormat="1" x14ac:dyDescent="0.2">
      <c r="A106" s="16" t="s">
        <v>515</v>
      </c>
      <c r="B106" s="16" t="s">
        <v>516</v>
      </c>
      <c r="C106" s="16">
        <v>2010</v>
      </c>
      <c r="D106" s="16">
        <v>111</v>
      </c>
      <c r="E106" s="16" t="s">
        <v>387</v>
      </c>
      <c r="F106" s="16"/>
      <c r="G106" s="28">
        <f>7500+66350</f>
        <v>73850</v>
      </c>
      <c r="H106" s="28">
        <v>63350</v>
      </c>
      <c r="I106" s="28">
        <v>3000</v>
      </c>
      <c r="J106" s="16" t="s">
        <v>481</v>
      </c>
    </row>
    <row r="107" spans="1:14" s="1" customFormat="1" x14ac:dyDescent="0.2">
      <c r="A107" s="16" t="s">
        <v>498</v>
      </c>
      <c r="B107" s="16" t="s">
        <v>279</v>
      </c>
      <c r="C107" s="16">
        <v>2010</v>
      </c>
      <c r="D107" s="16">
        <v>111</v>
      </c>
      <c r="E107" s="16" t="s">
        <v>387</v>
      </c>
      <c r="F107" s="16"/>
      <c r="G107" s="28">
        <f>1000+72500</f>
        <v>73500</v>
      </c>
      <c r="H107" s="28">
        <v>15000</v>
      </c>
      <c r="I107" s="28">
        <v>57500</v>
      </c>
      <c r="J107" s="16" t="s">
        <v>478</v>
      </c>
    </row>
    <row r="108" spans="1:14" s="1" customFormat="1" x14ac:dyDescent="0.2">
      <c r="A108" s="16" t="s">
        <v>493</v>
      </c>
      <c r="B108" s="16" t="s">
        <v>275</v>
      </c>
      <c r="C108" s="16">
        <v>2010</v>
      </c>
      <c r="D108" s="16">
        <v>111</v>
      </c>
      <c r="E108" s="16" t="s">
        <v>386</v>
      </c>
      <c r="F108" s="16" t="s">
        <v>494</v>
      </c>
      <c r="G108" s="28">
        <f>25500+47400</f>
        <v>72900</v>
      </c>
      <c r="H108" s="28">
        <v>37900</v>
      </c>
      <c r="I108" s="28">
        <v>9500</v>
      </c>
      <c r="J108" s="16" t="s">
        <v>473</v>
      </c>
    </row>
    <row r="109" spans="1:14" x14ac:dyDescent="0.2">
      <c r="A109" s="16" t="s">
        <v>277</v>
      </c>
      <c r="B109" s="16" t="s">
        <v>275</v>
      </c>
      <c r="C109" s="16">
        <v>2010</v>
      </c>
      <c r="D109" s="16">
        <v>111</v>
      </c>
      <c r="E109" s="16" t="s">
        <v>386</v>
      </c>
      <c r="F109" s="16"/>
      <c r="G109" s="28">
        <f>6000+58627</f>
        <v>64627</v>
      </c>
      <c r="H109" s="28">
        <v>51127</v>
      </c>
      <c r="I109" s="28">
        <v>7500</v>
      </c>
      <c r="J109" s="16" t="s">
        <v>478</v>
      </c>
    </row>
    <row r="110" spans="1:14" x14ac:dyDescent="0.2">
      <c r="A110" s="16" t="s">
        <v>293</v>
      </c>
      <c r="B110" s="16" t="s">
        <v>275</v>
      </c>
      <c r="C110" s="16">
        <v>2010</v>
      </c>
      <c r="D110" s="16">
        <v>111</v>
      </c>
      <c r="E110" s="16" t="s">
        <v>386</v>
      </c>
      <c r="F110" s="16"/>
      <c r="G110" s="28">
        <f>6000+52765</f>
        <v>58765</v>
      </c>
      <c r="H110" s="28">
        <v>52765</v>
      </c>
      <c r="I110" s="28">
        <v>0</v>
      </c>
      <c r="J110" s="16" t="s">
        <v>478</v>
      </c>
    </row>
    <row r="111" spans="1:14" s="1" customFormat="1" x14ac:dyDescent="0.2">
      <c r="A111" s="16" t="s">
        <v>315</v>
      </c>
      <c r="B111" s="16" t="s">
        <v>279</v>
      </c>
      <c r="C111" s="16">
        <v>2010</v>
      </c>
      <c r="D111" s="16">
        <v>111</v>
      </c>
      <c r="E111" s="16" t="s">
        <v>386</v>
      </c>
      <c r="F111" s="16"/>
      <c r="G111" s="28">
        <f>13000+45533</f>
        <v>58533</v>
      </c>
      <c r="H111" s="28">
        <v>45533</v>
      </c>
      <c r="I111" s="28">
        <v>0</v>
      </c>
      <c r="J111" s="16" t="s">
        <v>478</v>
      </c>
    </row>
    <row r="112" spans="1:14" x14ac:dyDescent="0.2">
      <c r="A112" s="16" t="s">
        <v>291</v>
      </c>
      <c r="B112" s="16" t="s">
        <v>275</v>
      </c>
      <c r="C112" s="16">
        <v>2010</v>
      </c>
      <c r="D112" s="16">
        <v>111</v>
      </c>
      <c r="E112" s="16" t="s">
        <v>386</v>
      </c>
      <c r="F112" s="16"/>
      <c r="G112" s="28">
        <f>6500+50145</f>
        <v>56645</v>
      </c>
      <c r="H112" s="28">
        <v>50145</v>
      </c>
      <c r="I112" s="28">
        <v>0</v>
      </c>
      <c r="J112" s="16" t="s">
        <v>478</v>
      </c>
    </row>
    <row r="113" spans="1:10" s="1" customFormat="1" x14ac:dyDescent="0.2">
      <c r="A113" s="16" t="s">
        <v>288</v>
      </c>
      <c r="B113" s="16" t="s">
        <v>279</v>
      </c>
      <c r="C113" s="16">
        <v>2010</v>
      </c>
      <c r="D113" s="16">
        <v>111</v>
      </c>
      <c r="E113" s="16" t="s">
        <v>386</v>
      </c>
      <c r="F113" s="16"/>
      <c r="G113" s="28">
        <f>1000+54000</f>
        <v>55000</v>
      </c>
      <c r="H113" s="28">
        <v>36000</v>
      </c>
      <c r="I113" s="28">
        <v>18000</v>
      </c>
      <c r="J113" s="16" t="s">
        <v>478</v>
      </c>
    </row>
    <row r="114" spans="1:10" s="1" customFormat="1" x14ac:dyDescent="0.2">
      <c r="A114" s="16" t="s">
        <v>362</v>
      </c>
      <c r="B114" s="16" t="s">
        <v>279</v>
      </c>
      <c r="C114" s="16">
        <v>2010</v>
      </c>
      <c r="D114" s="16">
        <v>111</v>
      </c>
      <c r="E114" s="16" t="s">
        <v>387</v>
      </c>
      <c r="F114" s="16"/>
      <c r="G114" s="28">
        <f>3000+51500</f>
        <v>54500</v>
      </c>
      <c r="H114" s="28">
        <v>23000</v>
      </c>
      <c r="I114" s="28">
        <v>28500</v>
      </c>
      <c r="J114" s="16" t="s">
        <v>478</v>
      </c>
    </row>
    <row r="115" spans="1:10" x14ac:dyDescent="0.2">
      <c r="A115" s="16" t="s">
        <v>320</v>
      </c>
      <c r="B115" s="16" t="s">
        <v>275</v>
      </c>
      <c r="C115" s="16">
        <v>2010</v>
      </c>
      <c r="D115" s="16">
        <v>111</v>
      </c>
      <c r="E115" s="16" t="s">
        <v>386</v>
      </c>
      <c r="F115" s="16"/>
      <c r="G115" s="28">
        <f>3500+45750</f>
        <v>49250</v>
      </c>
      <c r="H115" s="28">
        <v>45750</v>
      </c>
      <c r="I115" s="28">
        <v>0</v>
      </c>
      <c r="J115" s="16" t="s">
        <v>478</v>
      </c>
    </row>
    <row r="116" spans="1:10" s="1" customFormat="1" x14ac:dyDescent="0.2">
      <c r="A116" s="16" t="s">
        <v>285</v>
      </c>
      <c r="B116" s="16" t="s">
        <v>275</v>
      </c>
      <c r="C116" s="16">
        <v>2010</v>
      </c>
      <c r="D116" s="16">
        <v>111</v>
      </c>
      <c r="E116" s="16" t="s">
        <v>386</v>
      </c>
      <c r="F116" s="16"/>
      <c r="G116" s="28">
        <f>6500+40500</f>
        <v>47000</v>
      </c>
      <c r="H116" s="28">
        <v>34500</v>
      </c>
      <c r="I116" s="28">
        <v>6000</v>
      </c>
      <c r="J116" s="16" t="s">
        <v>478</v>
      </c>
    </row>
    <row r="117" spans="1:10" x14ac:dyDescent="0.2">
      <c r="A117" s="16" t="s">
        <v>301</v>
      </c>
      <c r="B117" s="16" t="s">
        <v>275</v>
      </c>
      <c r="C117" s="16">
        <v>2010</v>
      </c>
      <c r="D117" s="16">
        <v>111</v>
      </c>
      <c r="E117" s="16" t="s">
        <v>386</v>
      </c>
      <c r="F117" s="16"/>
      <c r="G117" s="28">
        <f>6500+38519</f>
        <v>45019</v>
      </c>
      <c r="H117" s="28">
        <v>38519</v>
      </c>
      <c r="I117" s="28">
        <v>0</v>
      </c>
      <c r="J117" s="16" t="s">
        <v>478</v>
      </c>
    </row>
    <row r="118" spans="1:10" s="1" customFormat="1" x14ac:dyDescent="0.2">
      <c r="A118" s="16" t="s">
        <v>283</v>
      </c>
      <c r="B118" s="16" t="s">
        <v>279</v>
      </c>
      <c r="C118" s="16">
        <v>2010</v>
      </c>
      <c r="D118" s="16">
        <v>111</v>
      </c>
      <c r="E118" s="16" t="s">
        <v>386</v>
      </c>
      <c r="F118" s="16"/>
      <c r="G118" s="28">
        <f>5500+39250</f>
        <v>44750</v>
      </c>
      <c r="H118" s="28">
        <v>39250</v>
      </c>
      <c r="I118" s="28">
        <v>0</v>
      </c>
      <c r="J118" s="16"/>
    </row>
    <row r="119" spans="1:10" x14ac:dyDescent="0.2">
      <c r="A119" s="16" t="s">
        <v>512</v>
      </c>
      <c r="B119" s="16" t="s">
        <v>279</v>
      </c>
      <c r="C119" s="16">
        <v>2010</v>
      </c>
      <c r="D119" s="16">
        <v>111</v>
      </c>
      <c r="E119" s="16" t="s">
        <v>387</v>
      </c>
      <c r="F119" s="16"/>
      <c r="G119" s="28">
        <f>12100+30700</f>
        <v>42800</v>
      </c>
      <c r="H119" s="28">
        <v>26400</v>
      </c>
      <c r="I119" s="28">
        <v>4300</v>
      </c>
      <c r="J119" s="16" t="s">
        <v>478</v>
      </c>
    </row>
    <row r="120" spans="1:10" x14ac:dyDescent="0.2">
      <c r="A120" s="16" t="s">
        <v>317</v>
      </c>
      <c r="B120" s="16" t="s">
        <v>279</v>
      </c>
      <c r="C120" s="16">
        <v>2010</v>
      </c>
      <c r="D120" s="16">
        <v>111</v>
      </c>
      <c r="E120" s="16" t="s">
        <v>386</v>
      </c>
      <c r="F120" s="16"/>
      <c r="G120" s="28">
        <f>4300+37000</f>
        <v>41300</v>
      </c>
      <c r="H120" s="28">
        <v>37000</v>
      </c>
      <c r="I120" s="28">
        <v>0</v>
      </c>
      <c r="J120" s="16" t="s">
        <v>478</v>
      </c>
    </row>
    <row r="121" spans="1:10" s="1" customFormat="1" x14ac:dyDescent="0.2">
      <c r="A121" s="16" t="s">
        <v>287</v>
      </c>
      <c r="B121" s="16" t="s">
        <v>275</v>
      </c>
      <c r="C121" s="16">
        <v>2010</v>
      </c>
      <c r="D121" s="16">
        <v>111</v>
      </c>
      <c r="E121" s="16" t="s">
        <v>386</v>
      </c>
      <c r="F121" s="16"/>
      <c r="G121" s="28">
        <f>2500+38800</f>
        <v>41300</v>
      </c>
      <c r="H121" s="28">
        <v>36300</v>
      </c>
      <c r="I121" s="28">
        <v>2500</v>
      </c>
      <c r="J121" s="16"/>
    </row>
    <row r="122" spans="1:10" s="1" customFormat="1" x14ac:dyDescent="0.2">
      <c r="A122" s="16" t="s">
        <v>308</v>
      </c>
      <c r="B122" s="16" t="s">
        <v>275</v>
      </c>
      <c r="C122" s="16">
        <v>2010</v>
      </c>
      <c r="D122" s="16">
        <v>111</v>
      </c>
      <c r="E122" s="16" t="s">
        <v>386</v>
      </c>
      <c r="F122" s="16"/>
      <c r="G122" s="28">
        <f>20800+18500</f>
        <v>39300</v>
      </c>
      <c r="H122" s="28">
        <v>18500</v>
      </c>
      <c r="I122" s="28">
        <v>0</v>
      </c>
      <c r="J122" s="16"/>
    </row>
    <row r="123" spans="1:10" x14ac:dyDescent="0.2">
      <c r="A123" s="16" t="s">
        <v>311</v>
      </c>
      <c r="B123" s="16" t="s">
        <v>275</v>
      </c>
      <c r="C123" s="16">
        <v>2010</v>
      </c>
      <c r="D123" s="16">
        <v>111</v>
      </c>
      <c r="E123" s="16" t="s">
        <v>386</v>
      </c>
      <c r="F123" s="16"/>
      <c r="G123" s="28">
        <f>15800+22554</f>
        <v>38354</v>
      </c>
      <c r="H123" s="28">
        <v>22554</v>
      </c>
      <c r="I123" s="28">
        <v>0</v>
      </c>
      <c r="J123" s="16"/>
    </row>
    <row r="124" spans="1:10" s="1" customFormat="1" x14ac:dyDescent="0.2">
      <c r="A124" s="16" t="s">
        <v>323</v>
      </c>
      <c r="B124" s="16" t="s">
        <v>279</v>
      </c>
      <c r="C124" s="16">
        <v>2010</v>
      </c>
      <c r="D124" s="16">
        <v>111</v>
      </c>
      <c r="E124" s="16" t="s">
        <v>386</v>
      </c>
      <c r="F124" s="16"/>
      <c r="G124" s="28">
        <v>34501</v>
      </c>
      <c r="H124" s="28">
        <v>34251</v>
      </c>
      <c r="I124" s="28">
        <v>250</v>
      </c>
      <c r="J124" s="16"/>
    </row>
    <row r="125" spans="1:10" s="1" customFormat="1" x14ac:dyDescent="0.2">
      <c r="A125" s="16" t="s">
        <v>489</v>
      </c>
      <c r="B125" s="16" t="s">
        <v>275</v>
      </c>
      <c r="C125" s="16">
        <v>2010</v>
      </c>
      <c r="D125" s="16">
        <v>111</v>
      </c>
      <c r="E125" s="16" t="s">
        <v>386</v>
      </c>
      <c r="F125" s="16"/>
      <c r="G125" s="28">
        <v>33000</v>
      </c>
      <c r="H125" s="28">
        <v>22800</v>
      </c>
      <c r="I125" s="28">
        <v>10200</v>
      </c>
      <c r="J125" s="16" t="s">
        <v>478</v>
      </c>
    </row>
    <row r="126" spans="1:10" s="1" customFormat="1" x14ac:dyDescent="0.2">
      <c r="A126" s="16" t="s">
        <v>490</v>
      </c>
      <c r="B126" s="16" t="s">
        <v>279</v>
      </c>
      <c r="C126" s="16">
        <v>2010</v>
      </c>
      <c r="D126" s="16">
        <v>111</v>
      </c>
      <c r="E126" s="16" t="s">
        <v>386</v>
      </c>
      <c r="F126" s="16"/>
      <c r="G126" s="28">
        <v>32900</v>
      </c>
      <c r="H126" s="28">
        <v>32900</v>
      </c>
      <c r="I126" s="28">
        <v>0</v>
      </c>
      <c r="J126" s="16"/>
    </row>
    <row r="127" spans="1:10" x14ac:dyDescent="0.2">
      <c r="A127" s="16" t="s">
        <v>313</v>
      </c>
      <c r="B127" s="16" t="s">
        <v>275</v>
      </c>
      <c r="C127" s="16">
        <v>2010</v>
      </c>
      <c r="D127" s="16">
        <v>111</v>
      </c>
      <c r="E127" s="16" t="s">
        <v>386</v>
      </c>
      <c r="F127" s="16"/>
      <c r="G127" s="28">
        <f>2250+29610</f>
        <v>31860</v>
      </c>
      <c r="H127" s="28">
        <v>29610</v>
      </c>
      <c r="I127" s="28">
        <v>0</v>
      </c>
      <c r="J127" s="16" t="s">
        <v>478</v>
      </c>
    </row>
    <row r="128" spans="1:10" s="1" customFormat="1" x14ac:dyDescent="0.2">
      <c r="A128" s="16" t="s">
        <v>328</v>
      </c>
      <c r="B128" s="16" t="s">
        <v>279</v>
      </c>
      <c r="C128" s="16">
        <v>2010</v>
      </c>
      <c r="D128" s="16">
        <v>111</v>
      </c>
      <c r="E128" s="16" t="s">
        <v>386</v>
      </c>
      <c r="F128" s="16"/>
      <c r="G128" s="28">
        <f>4750+25550</f>
        <v>30300</v>
      </c>
      <c r="H128" s="28">
        <v>25550</v>
      </c>
      <c r="I128" s="28">
        <v>0</v>
      </c>
      <c r="J128" s="16"/>
    </row>
    <row r="129" spans="1:10" x14ac:dyDescent="0.2">
      <c r="A129" s="16" t="s">
        <v>296</v>
      </c>
      <c r="B129" s="16" t="s">
        <v>275</v>
      </c>
      <c r="C129" s="16">
        <v>2010</v>
      </c>
      <c r="D129" s="16">
        <v>111</v>
      </c>
      <c r="E129" s="16" t="s">
        <v>386</v>
      </c>
      <c r="F129" s="16"/>
      <c r="G129" s="28">
        <f>7000+21000</f>
        <v>28000</v>
      </c>
      <c r="H129" s="28">
        <v>21000</v>
      </c>
      <c r="I129" s="28">
        <v>0</v>
      </c>
      <c r="J129" s="16" t="s">
        <v>478</v>
      </c>
    </row>
    <row r="130" spans="1:10" s="1" customFormat="1" x14ac:dyDescent="0.2">
      <c r="A130" s="16" t="s">
        <v>284</v>
      </c>
      <c r="B130" s="16" t="s">
        <v>275</v>
      </c>
      <c r="C130" s="16">
        <v>2010</v>
      </c>
      <c r="D130" s="16">
        <v>111</v>
      </c>
      <c r="E130" s="16" t="s">
        <v>386</v>
      </c>
      <c r="F130" s="16"/>
      <c r="G130" s="28">
        <f>2000+23500</f>
        <v>25500</v>
      </c>
      <c r="H130" s="28">
        <v>23500</v>
      </c>
      <c r="I130" s="28">
        <v>0</v>
      </c>
      <c r="J130" s="16"/>
    </row>
    <row r="131" spans="1:10" x14ac:dyDescent="0.2">
      <c r="A131" s="16" t="s">
        <v>310</v>
      </c>
      <c r="B131" s="16" t="s">
        <v>275</v>
      </c>
      <c r="C131" s="16">
        <v>2010</v>
      </c>
      <c r="D131" s="16">
        <v>111</v>
      </c>
      <c r="E131" s="16" t="s">
        <v>386</v>
      </c>
      <c r="F131" s="16"/>
      <c r="G131" s="28">
        <f>5000+20000</f>
        <v>25000</v>
      </c>
      <c r="H131" s="28">
        <v>20000</v>
      </c>
      <c r="I131" s="28">
        <v>0</v>
      </c>
      <c r="J131" s="16"/>
    </row>
    <row r="132" spans="1:10" s="1" customFormat="1" x14ac:dyDescent="0.2">
      <c r="A132" s="16" t="s">
        <v>302</v>
      </c>
      <c r="B132" s="16" t="s">
        <v>279</v>
      </c>
      <c r="C132" s="16">
        <v>2010</v>
      </c>
      <c r="D132" s="16">
        <v>111</v>
      </c>
      <c r="E132" s="16" t="s">
        <v>386</v>
      </c>
      <c r="F132" s="16"/>
      <c r="G132" s="28">
        <f>2500+21378</f>
        <v>23878</v>
      </c>
      <c r="H132" s="28">
        <v>21378</v>
      </c>
      <c r="I132" s="28">
        <v>0</v>
      </c>
      <c r="J132" s="16"/>
    </row>
    <row r="133" spans="1:10" x14ac:dyDescent="0.2">
      <c r="A133" s="16" t="s">
        <v>289</v>
      </c>
      <c r="B133" s="16" t="s">
        <v>275</v>
      </c>
      <c r="C133" s="16">
        <v>2010</v>
      </c>
      <c r="D133" s="16">
        <v>111</v>
      </c>
      <c r="E133" s="16" t="s">
        <v>386</v>
      </c>
      <c r="F133" s="16"/>
      <c r="G133" s="28">
        <v>22200</v>
      </c>
      <c r="H133" s="28">
        <v>20700</v>
      </c>
      <c r="I133" s="28">
        <v>1500</v>
      </c>
      <c r="J133" s="16" t="s">
        <v>478</v>
      </c>
    </row>
    <row r="134" spans="1:10" x14ac:dyDescent="0.2">
      <c r="A134" s="16" t="s">
        <v>299</v>
      </c>
      <c r="B134" s="16" t="s">
        <v>275</v>
      </c>
      <c r="C134" s="16">
        <v>2010</v>
      </c>
      <c r="D134" s="16">
        <v>111</v>
      </c>
      <c r="E134" s="16" t="s">
        <v>386</v>
      </c>
      <c r="F134" s="16"/>
      <c r="G134" s="28">
        <f>2000+17750</f>
        <v>19750</v>
      </c>
      <c r="H134" s="28">
        <v>17750</v>
      </c>
      <c r="I134" s="28">
        <v>0</v>
      </c>
      <c r="J134" s="16" t="s">
        <v>478</v>
      </c>
    </row>
    <row r="135" spans="1:10" x14ac:dyDescent="0.2">
      <c r="A135" s="16" t="s">
        <v>307</v>
      </c>
      <c r="B135" s="16" t="s">
        <v>279</v>
      </c>
      <c r="C135" s="16">
        <v>2010</v>
      </c>
      <c r="D135" s="16">
        <v>111</v>
      </c>
      <c r="E135" s="16" t="s">
        <v>386</v>
      </c>
      <c r="F135" s="16"/>
      <c r="G135" s="28">
        <f>2500+17000</f>
        <v>19500</v>
      </c>
      <c r="H135" s="28">
        <v>17000</v>
      </c>
      <c r="I135" s="28">
        <v>0</v>
      </c>
      <c r="J135" s="16"/>
    </row>
    <row r="136" spans="1:10" s="1" customFormat="1" x14ac:dyDescent="0.2">
      <c r="A136" s="16" t="s">
        <v>488</v>
      </c>
      <c r="B136" s="16" t="s">
        <v>279</v>
      </c>
      <c r="C136" s="16">
        <v>2010</v>
      </c>
      <c r="D136" s="16">
        <v>111</v>
      </c>
      <c r="E136" s="16" t="s">
        <v>386</v>
      </c>
      <c r="F136" s="16"/>
      <c r="G136" s="28">
        <v>18000</v>
      </c>
      <c r="H136" s="28">
        <v>18000</v>
      </c>
      <c r="I136" s="28">
        <v>0</v>
      </c>
      <c r="J136" s="16"/>
    </row>
    <row r="137" spans="1:10" x14ac:dyDescent="0.2">
      <c r="A137" s="16" t="s">
        <v>276</v>
      </c>
      <c r="B137" s="16" t="s">
        <v>275</v>
      </c>
      <c r="C137" s="16">
        <v>2010</v>
      </c>
      <c r="D137" s="16">
        <v>111</v>
      </c>
      <c r="E137" s="16" t="s">
        <v>386</v>
      </c>
      <c r="F137" s="16"/>
      <c r="G137" s="28">
        <f>4450+13200</f>
        <v>17650</v>
      </c>
      <c r="H137" s="28">
        <v>13200</v>
      </c>
      <c r="I137" s="28">
        <v>0</v>
      </c>
      <c r="J137" s="16" t="s">
        <v>478</v>
      </c>
    </row>
    <row r="138" spans="1:10" s="1" customFormat="1" x14ac:dyDescent="0.2">
      <c r="A138" s="16" t="s">
        <v>303</v>
      </c>
      <c r="B138" s="16" t="s">
        <v>279</v>
      </c>
      <c r="C138" s="16">
        <v>2010</v>
      </c>
      <c r="D138" s="16">
        <v>111</v>
      </c>
      <c r="E138" s="16" t="s">
        <v>386</v>
      </c>
      <c r="F138" s="16"/>
      <c r="G138" s="28">
        <v>17500</v>
      </c>
      <c r="H138" s="28">
        <v>17500</v>
      </c>
      <c r="I138" s="28">
        <v>0</v>
      </c>
      <c r="J138" s="16" t="s">
        <v>478</v>
      </c>
    </row>
    <row r="139" spans="1:10" x14ac:dyDescent="0.2">
      <c r="A139" s="16" t="s">
        <v>513</v>
      </c>
      <c r="B139" s="16" t="s">
        <v>275</v>
      </c>
      <c r="C139" s="16">
        <v>2010</v>
      </c>
      <c r="D139" s="16">
        <v>111</v>
      </c>
      <c r="E139" s="16" t="s">
        <v>387</v>
      </c>
      <c r="F139" s="16"/>
      <c r="G139" s="28">
        <f>6000+11000</f>
        <v>17000</v>
      </c>
      <c r="H139" s="28">
        <v>11000</v>
      </c>
      <c r="I139" s="28">
        <v>0</v>
      </c>
      <c r="J139" s="16" t="s">
        <v>478</v>
      </c>
    </row>
    <row r="140" spans="1:10" x14ac:dyDescent="0.2">
      <c r="A140" s="16" t="s">
        <v>496</v>
      </c>
      <c r="B140" s="16" t="s">
        <v>275</v>
      </c>
      <c r="C140" s="16">
        <v>2010</v>
      </c>
      <c r="D140" s="16">
        <v>111</v>
      </c>
      <c r="E140" s="16" t="s">
        <v>386</v>
      </c>
      <c r="F140" s="16"/>
      <c r="G140" s="28">
        <f>1000+15050</f>
        <v>16050</v>
      </c>
      <c r="H140" s="28">
        <v>15050</v>
      </c>
      <c r="I140" s="28">
        <v>0</v>
      </c>
      <c r="J140" s="16"/>
    </row>
    <row r="141" spans="1:10" x14ac:dyDescent="0.2">
      <c r="A141" s="16" t="s">
        <v>304</v>
      </c>
      <c r="B141" s="16" t="s">
        <v>275</v>
      </c>
      <c r="C141" s="16">
        <v>2010</v>
      </c>
      <c r="D141" s="16">
        <v>111</v>
      </c>
      <c r="E141" s="16" t="s">
        <v>386</v>
      </c>
      <c r="F141" s="16"/>
      <c r="G141" s="28">
        <v>14400</v>
      </c>
      <c r="H141" s="28">
        <v>14400</v>
      </c>
      <c r="I141" s="28">
        <v>0</v>
      </c>
      <c r="J141" s="16" t="s">
        <v>478</v>
      </c>
    </row>
    <row r="142" spans="1:10" x14ac:dyDescent="0.2">
      <c r="A142" s="16" t="s">
        <v>295</v>
      </c>
      <c r="B142" s="16" t="s">
        <v>275</v>
      </c>
      <c r="C142" s="16">
        <v>2010</v>
      </c>
      <c r="D142" s="16">
        <v>111</v>
      </c>
      <c r="E142" s="16" t="s">
        <v>386</v>
      </c>
      <c r="F142" s="16"/>
      <c r="G142" s="28">
        <v>13000</v>
      </c>
      <c r="H142" s="28">
        <v>13000</v>
      </c>
      <c r="I142" s="28">
        <v>0</v>
      </c>
      <c r="J142" s="16"/>
    </row>
    <row r="143" spans="1:10" x14ac:dyDescent="0.2">
      <c r="A143" s="16" t="s">
        <v>500</v>
      </c>
      <c r="B143" s="16" t="s">
        <v>275</v>
      </c>
      <c r="C143" s="16">
        <v>2010</v>
      </c>
      <c r="D143" s="16">
        <v>111</v>
      </c>
      <c r="E143" s="16" t="s">
        <v>387</v>
      </c>
      <c r="F143" s="16"/>
      <c r="G143" s="28">
        <v>11900</v>
      </c>
      <c r="H143" s="28">
        <v>11900</v>
      </c>
      <c r="I143" s="28">
        <v>0</v>
      </c>
      <c r="J143" s="16" t="s">
        <v>481</v>
      </c>
    </row>
    <row r="144" spans="1:10" x14ac:dyDescent="0.2">
      <c r="A144" s="16" t="s">
        <v>322</v>
      </c>
      <c r="B144" s="16" t="s">
        <v>275</v>
      </c>
      <c r="C144" s="16">
        <v>2010</v>
      </c>
      <c r="D144" s="16">
        <v>111</v>
      </c>
      <c r="E144" s="16" t="s">
        <v>386</v>
      </c>
      <c r="F144" s="16"/>
      <c r="G144" s="28">
        <v>10100</v>
      </c>
      <c r="H144" s="28">
        <v>10100</v>
      </c>
      <c r="I144" s="28">
        <v>0</v>
      </c>
      <c r="J144" s="16" t="s">
        <v>478</v>
      </c>
    </row>
    <row r="145" spans="1:10" x14ac:dyDescent="0.2">
      <c r="A145" s="16" t="s">
        <v>506</v>
      </c>
      <c r="B145" s="16" t="s">
        <v>275</v>
      </c>
      <c r="C145" s="16">
        <v>2010</v>
      </c>
      <c r="D145" s="16">
        <v>111</v>
      </c>
      <c r="E145" s="16" t="s">
        <v>387</v>
      </c>
      <c r="F145" s="16"/>
      <c r="G145" s="28">
        <f>2200+7025</f>
        <v>9225</v>
      </c>
      <c r="H145" s="28">
        <v>6025</v>
      </c>
      <c r="I145" s="28">
        <v>1000</v>
      </c>
      <c r="J145" s="16" t="s">
        <v>481</v>
      </c>
    </row>
    <row r="146" spans="1:10" x14ac:dyDescent="0.2">
      <c r="A146" s="16" t="s">
        <v>361</v>
      </c>
      <c r="B146" s="16" t="s">
        <v>275</v>
      </c>
      <c r="C146" s="16">
        <v>2010</v>
      </c>
      <c r="D146" s="16">
        <v>111</v>
      </c>
      <c r="E146" s="16" t="s">
        <v>387</v>
      </c>
      <c r="F146" s="16"/>
      <c r="G146" s="28">
        <v>7500</v>
      </c>
      <c r="H146" s="28">
        <v>0</v>
      </c>
      <c r="I146" s="28">
        <v>7500</v>
      </c>
      <c r="J146" s="16" t="s">
        <v>481</v>
      </c>
    </row>
    <row r="147" spans="1:10" x14ac:dyDescent="0.2">
      <c r="A147" s="16" t="s">
        <v>300</v>
      </c>
      <c r="B147" s="16" t="s">
        <v>275</v>
      </c>
      <c r="C147" s="16">
        <v>2010</v>
      </c>
      <c r="D147" s="16">
        <v>111</v>
      </c>
      <c r="E147" s="16" t="s">
        <v>386</v>
      </c>
      <c r="F147" s="16"/>
      <c r="G147" s="28">
        <v>6250</v>
      </c>
      <c r="H147" s="28">
        <v>6250</v>
      </c>
      <c r="I147" s="28">
        <v>0</v>
      </c>
      <c r="J147" s="16" t="s">
        <v>478</v>
      </c>
    </row>
    <row r="148" spans="1:10" x14ac:dyDescent="0.2">
      <c r="A148" s="16" t="s">
        <v>325</v>
      </c>
      <c r="B148" s="16" t="s">
        <v>279</v>
      </c>
      <c r="C148" s="16">
        <v>2010</v>
      </c>
      <c r="D148" s="16">
        <v>111</v>
      </c>
      <c r="E148" s="16" t="s">
        <v>386</v>
      </c>
      <c r="F148" s="16"/>
      <c r="G148" s="28">
        <f>500+5250</f>
        <v>5750</v>
      </c>
      <c r="H148" s="28">
        <v>5250</v>
      </c>
      <c r="I148" s="28">
        <v>0</v>
      </c>
      <c r="J148" s="16" t="s">
        <v>478</v>
      </c>
    </row>
    <row r="149" spans="1:10" x14ac:dyDescent="0.2">
      <c r="A149" s="16" t="s">
        <v>487</v>
      </c>
      <c r="B149" s="16" t="s">
        <v>275</v>
      </c>
      <c r="C149" s="16">
        <v>2010</v>
      </c>
      <c r="D149" s="16">
        <v>111</v>
      </c>
      <c r="E149" s="16" t="s">
        <v>386</v>
      </c>
      <c r="F149" s="16"/>
      <c r="G149" s="28">
        <f>2500+2000</f>
        <v>4500</v>
      </c>
      <c r="H149" s="28">
        <v>2000</v>
      </c>
      <c r="I149" s="28">
        <v>0</v>
      </c>
      <c r="J149" s="16"/>
    </row>
    <row r="150" spans="1:10" x14ac:dyDescent="0.2">
      <c r="A150" s="16" t="s">
        <v>324</v>
      </c>
      <c r="B150" s="16" t="s">
        <v>275</v>
      </c>
      <c r="C150" s="16">
        <v>2010</v>
      </c>
      <c r="D150" s="16">
        <v>111</v>
      </c>
      <c r="E150" s="16" t="s">
        <v>386</v>
      </c>
      <c r="F150" s="16"/>
      <c r="G150" s="28">
        <v>4150</v>
      </c>
      <c r="H150" s="28">
        <v>4150</v>
      </c>
      <c r="I150" s="28">
        <v>0</v>
      </c>
      <c r="J150" s="16" t="s">
        <v>478</v>
      </c>
    </row>
    <row r="151" spans="1:10" x14ac:dyDescent="0.2">
      <c r="A151" s="16" t="s">
        <v>292</v>
      </c>
      <c r="B151" s="16" t="s">
        <v>279</v>
      </c>
      <c r="C151" s="16">
        <v>2010</v>
      </c>
      <c r="D151" s="16">
        <v>111</v>
      </c>
      <c r="E151" s="16" t="s">
        <v>386</v>
      </c>
      <c r="F151" s="16" t="s">
        <v>417</v>
      </c>
      <c r="G151" s="28">
        <v>4000</v>
      </c>
      <c r="H151" s="28">
        <v>4000</v>
      </c>
      <c r="I151" s="28">
        <v>0</v>
      </c>
      <c r="J151" s="16" t="s">
        <v>478</v>
      </c>
    </row>
    <row r="152" spans="1:10" x14ac:dyDescent="0.2">
      <c r="A152" s="16" t="s">
        <v>290</v>
      </c>
      <c r="B152" s="16" t="s">
        <v>275</v>
      </c>
      <c r="C152" s="16">
        <v>2010</v>
      </c>
      <c r="D152" s="16">
        <v>111</v>
      </c>
      <c r="E152" s="16" t="s">
        <v>386</v>
      </c>
      <c r="F152" s="16"/>
      <c r="G152" s="28">
        <v>2250</v>
      </c>
      <c r="H152" s="28">
        <v>2250</v>
      </c>
      <c r="I152" s="28">
        <v>0</v>
      </c>
      <c r="J152" s="16" t="s">
        <v>479</v>
      </c>
    </row>
    <row r="153" spans="1:10" x14ac:dyDescent="0.2">
      <c r="A153" s="16" t="s">
        <v>507</v>
      </c>
      <c r="B153" s="16" t="s">
        <v>279</v>
      </c>
      <c r="C153" s="16">
        <v>2010</v>
      </c>
      <c r="D153" s="16">
        <v>111</v>
      </c>
      <c r="E153" s="16" t="s">
        <v>387</v>
      </c>
      <c r="F153" s="16"/>
      <c r="G153" s="28">
        <v>2000</v>
      </c>
      <c r="H153" s="28">
        <v>0</v>
      </c>
      <c r="I153" s="28">
        <v>2000</v>
      </c>
      <c r="J153" s="16" t="s">
        <v>478</v>
      </c>
    </row>
    <row r="154" spans="1:10" x14ac:dyDescent="0.2">
      <c r="A154" s="16" t="s">
        <v>318</v>
      </c>
      <c r="B154" s="16" t="s">
        <v>279</v>
      </c>
      <c r="C154" s="16">
        <v>2010</v>
      </c>
      <c r="D154" s="16">
        <v>111</v>
      </c>
      <c r="E154" s="16" t="s">
        <v>386</v>
      </c>
      <c r="F154" s="16"/>
      <c r="G154" s="28">
        <v>2000</v>
      </c>
      <c r="H154" s="28">
        <v>2000</v>
      </c>
      <c r="I154" s="28">
        <v>0</v>
      </c>
      <c r="J154" s="16"/>
    </row>
    <row r="155" spans="1:10" x14ac:dyDescent="0.2">
      <c r="A155" s="16" t="s">
        <v>321</v>
      </c>
      <c r="B155" s="16" t="s">
        <v>275</v>
      </c>
      <c r="C155" s="16">
        <v>2010</v>
      </c>
      <c r="D155" s="16">
        <v>111</v>
      </c>
      <c r="E155" s="16" t="s">
        <v>386</v>
      </c>
      <c r="F155" s="16"/>
      <c r="G155" s="28">
        <v>1500</v>
      </c>
      <c r="H155" s="28">
        <v>1500</v>
      </c>
      <c r="I155" s="28">
        <v>0</v>
      </c>
      <c r="J155" s="16"/>
    </row>
    <row r="156" spans="1:10" x14ac:dyDescent="0.2">
      <c r="A156" s="16" t="s">
        <v>495</v>
      </c>
      <c r="B156" s="16" t="s">
        <v>275</v>
      </c>
      <c r="C156" s="16">
        <v>2010</v>
      </c>
      <c r="D156" s="16">
        <v>111</v>
      </c>
      <c r="E156" s="16" t="s">
        <v>386</v>
      </c>
      <c r="F156" s="16"/>
      <c r="G156" s="28">
        <v>1000</v>
      </c>
      <c r="H156" s="28">
        <v>1000</v>
      </c>
      <c r="I156" s="28">
        <v>0</v>
      </c>
      <c r="J156" s="16" t="s">
        <v>478</v>
      </c>
    </row>
    <row r="157" spans="1:10" s="2" customFormat="1" x14ac:dyDescent="0.2">
      <c r="A157" s="16" t="s">
        <v>363</v>
      </c>
      <c r="B157" s="16" t="s">
        <v>516</v>
      </c>
      <c r="C157" s="16">
        <v>2010</v>
      </c>
      <c r="D157" s="16">
        <v>111</v>
      </c>
      <c r="E157" s="16" t="s">
        <v>387</v>
      </c>
      <c r="F157" s="16"/>
      <c r="G157" s="28">
        <v>250</v>
      </c>
      <c r="H157" s="28">
        <v>250</v>
      </c>
      <c r="I157" s="28">
        <v>0</v>
      </c>
      <c r="J157" s="16" t="s">
        <v>478</v>
      </c>
    </row>
    <row r="158" spans="1:10" x14ac:dyDescent="0.2">
      <c r="A158" s="16" t="s">
        <v>274</v>
      </c>
      <c r="B158" s="16" t="s">
        <v>275</v>
      </c>
      <c r="C158" s="16">
        <v>2010</v>
      </c>
      <c r="D158" s="16">
        <v>111</v>
      </c>
      <c r="E158" s="16" t="s">
        <v>386</v>
      </c>
      <c r="F158" s="16"/>
      <c r="G158" s="28">
        <f>-2500-2000</f>
        <v>-4500</v>
      </c>
      <c r="H158" s="28">
        <v>-2000</v>
      </c>
      <c r="I158" s="28">
        <v>0</v>
      </c>
      <c r="J158" s="16"/>
    </row>
    <row r="164" spans="5:5" x14ac:dyDescent="0.2">
      <c r="E164" s="8"/>
    </row>
  </sheetData>
  <sortState ref="A2:J158">
    <sortCondition descending="1" ref="D158"/>
  </sortState>
  <phoneticPr fontId="4" type="noConversion"/>
  <pageMargins left="0.7" right="0.7" top="0.75" bottom="0.75" header="0.3" footer="0.3"/>
  <pageSetup paperSize="3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J127"/>
  <sheetViews>
    <sheetView topLeftCell="A61" zoomScale="85" zoomScaleNormal="85" workbookViewId="0">
      <selection activeCell="F129" sqref="D126:F129"/>
    </sheetView>
  </sheetViews>
  <sheetFormatPr defaultColWidth="8.7109375" defaultRowHeight="12.75" x14ac:dyDescent="0.2"/>
  <cols>
    <col min="1" max="1" width="6.85546875" bestFit="1" customWidth="1"/>
    <col min="2" max="2" width="13.28515625" bestFit="1" customWidth="1"/>
    <col min="3" max="3" width="25.28515625" bestFit="1" customWidth="1"/>
    <col min="4" max="4" width="36.140625" bestFit="1" customWidth="1"/>
    <col min="5" max="6" width="8.42578125" bestFit="1" customWidth="1"/>
    <col min="7" max="7" width="9" bestFit="1" customWidth="1"/>
    <col min="8" max="8" width="6.42578125" style="6" bestFit="1" customWidth="1"/>
    <col min="9" max="9" width="7.7109375" bestFit="1" customWidth="1"/>
    <col min="10" max="10" width="9.7109375" bestFit="1" customWidth="1"/>
    <col min="11" max="11" width="14.5703125" customWidth="1"/>
  </cols>
  <sheetData>
    <row r="1" spans="1:10" s="1" customFormat="1" x14ac:dyDescent="0.2">
      <c r="A1" s="1" t="s">
        <v>384</v>
      </c>
      <c r="B1" s="1" t="s">
        <v>385</v>
      </c>
      <c r="C1" s="1" t="s">
        <v>388</v>
      </c>
      <c r="D1" s="1" t="s">
        <v>397</v>
      </c>
      <c r="E1" s="1" t="s">
        <v>390</v>
      </c>
      <c r="F1" s="1" t="s">
        <v>393</v>
      </c>
      <c r="G1" s="1" t="s">
        <v>394</v>
      </c>
      <c r="H1" s="5" t="s">
        <v>398</v>
      </c>
      <c r="I1" s="1" t="s">
        <v>395</v>
      </c>
      <c r="J1" s="1" t="s">
        <v>396</v>
      </c>
    </row>
    <row r="2" spans="1:10" x14ac:dyDescent="0.2">
      <c r="A2">
        <v>2010</v>
      </c>
      <c r="B2">
        <v>111</v>
      </c>
      <c r="C2" t="s">
        <v>386</v>
      </c>
      <c r="D2" t="s">
        <v>8</v>
      </c>
      <c r="E2" s="3">
        <v>292250</v>
      </c>
      <c r="F2" s="3">
        <v>157750</v>
      </c>
      <c r="G2" s="3">
        <v>134500</v>
      </c>
      <c r="H2" s="6">
        <v>1</v>
      </c>
      <c r="I2" s="4">
        <f>F2/E2</f>
        <v>0.5397775876817793</v>
      </c>
      <c r="J2" s="4">
        <f>G2/E2</f>
        <v>0.4602224123182207</v>
      </c>
    </row>
    <row r="3" spans="1:10" x14ac:dyDescent="0.2">
      <c r="A3">
        <v>2010</v>
      </c>
      <c r="B3">
        <v>111</v>
      </c>
      <c r="C3" t="s">
        <v>386</v>
      </c>
      <c r="D3" t="s">
        <v>135</v>
      </c>
      <c r="E3" s="3">
        <v>270888</v>
      </c>
      <c r="F3" s="3">
        <v>109800</v>
      </c>
      <c r="G3" s="3">
        <v>161088</v>
      </c>
      <c r="H3" s="6">
        <v>2</v>
      </c>
      <c r="I3" s="4">
        <f t="shared" ref="I3:I5" si="0">F3/E3</f>
        <v>0.40533356959333749</v>
      </c>
      <c r="J3" s="4">
        <f t="shared" ref="J3:J5" si="1">G3/E3</f>
        <v>0.59466643040666256</v>
      </c>
    </row>
    <row r="4" spans="1:10" x14ac:dyDescent="0.2">
      <c r="A4">
        <v>2010</v>
      </c>
      <c r="B4">
        <v>111</v>
      </c>
      <c r="C4" t="s">
        <v>386</v>
      </c>
      <c r="D4" t="s">
        <v>357</v>
      </c>
      <c r="E4" s="3">
        <v>237959</v>
      </c>
      <c r="F4" s="3">
        <v>99764</v>
      </c>
      <c r="G4" s="3">
        <v>138195</v>
      </c>
      <c r="H4" s="6">
        <v>3</v>
      </c>
      <c r="I4" s="4">
        <f t="shared" si="0"/>
        <v>0.41924869410276561</v>
      </c>
      <c r="J4" s="4">
        <f t="shared" si="1"/>
        <v>0.58075130589723445</v>
      </c>
    </row>
    <row r="5" spans="1:10" x14ac:dyDescent="0.2">
      <c r="A5">
        <v>2010</v>
      </c>
      <c r="B5">
        <v>111</v>
      </c>
      <c r="C5" t="s">
        <v>386</v>
      </c>
      <c r="D5" t="s">
        <v>399</v>
      </c>
      <c r="E5" s="3">
        <v>235100</v>
      </c>
      <c r="F5" s="3">
        <v>85700</v>
      </c>
      <c r="G5" s="3">
        <v>149400</v>
      </c>
      <c r="H5" s="6">
        <v>4</v>
      </c>
      <c r="I5" s="4">
        <f t="shared" si="0"/>
        <v>0.36452573373032754</v>
      </c>
      <c r="J5" s="4">
        <f t="shared" si="1"/>
        <v>0.63547426626967252</v>
      </c>
    </row>
    <row r="6" spans="1:10" x14ac:dyDescent="0.2">
      <c r="A6">
        <v>2010</v>
      </c>
      <c r="B6">
        <v>111</v>
      </c>
      <c r="C6" t="s">
        <v>386</v>
      </c>
      <c r="D6" t="s">
        <v>98</v>
      </c>
      <c r="E6" s="3">
        <v>195750</v>
      </c>
      <c r="F6" s="3">
        <v>83250</v>
      </c>
      <c r="G6" s="3">
        <v>112500</v>
      </c>
      <c r="H6" s="6">
        <v>5</v>
      </c>
      <c r="I6" s="4">
        <f t="shared" ref="I6:I69" si="2">F6/E6</f>
        <v>0.42528735632183906</v>
      </c>
      <c r="J6" s="4">
        <f t="shared" ref="J6:J69" si="3">G6/E6</f>
        <v>0.57471264367816088</v>
      </c>
    </row>
    <row r="7" spans="1:10" x14ac:dyDescent="0.2">
      <c r="A7">
        <v>2010</v>
      </c>
      <c r="B7">
        <v>111</v>
      </c>
      <c r="C7" t="s">
        <v>386</v>
      </c>
      <c r="D7" t="s">
        <v>78</v>
      </c>
      <c r="E7" s="3">
        <v>137250</v>
      </c>
      <c r="F7" s="3">
        <v>59750</v>
      </c>
      <c r="G7" s="3">
        <v>77500</v>
      </c>
      <c r="H7" s="6">
        <v>6</v>
      </c>
      <c r="I7" s="4">
        <f t="shared" si="2"/>
        <v>0.43533697632058288</v>
      </c>
      <c r="J7" s="4">
        <f t="shared" si="3"/>
        <v>0.56466302367941712</v>
      </c>
    </row>
    <row r="8" spans="1:10" x14ac:dyDescent="0.2">
      <c r="A8">
        <v>2010</v>
      </c>
      <c r="B8">
        <v>111</v>
      </c>
      <c r="C8" t="s">
        <v>386</v>
      </c>
      <c r="D8" t="s">
        <v>62</v>
      </c>
      <c r="E8" s="3">
        <v>126250</v>
      </c>
      <c r="F8" s="3">
        <v>67750</v>
      </c>
      <c r="G8" s="3">
        <v>58500</v>
      </c>
      <c r="H8" s="6">
        <v>7</v>
      </c>
      <c r="I8" s="4">
        <f t="shared" si="2"/>
        <v>0.53663366336633667</v>
      </c>
      <c r="J8" s="4">
        <f t="shared" si="3"/>
        <v>0.46336633663366339</v>
      </c>
    </row>
    <row r="9" spans="1:10" x14ac:dyDescent="0.2">
      <c r="A9">
        <v>2010</v>
      </c>
      <c r="B9">
        <v>111</v>
      </c>
      <c r="C9" t="s">
        <v>386</v>
      </c>
      <c r="D9" t="s">
        <v>400</v>
      </c>
      <c r="E9" s="3">
        <v>96000</v>
      </c>
      <c r="F9" s="3">
        <v>41500</v>
      </c>
      <c r="G9" s="3">
        <v>54500</v>
      </c>
      <c r="H9" s="6">
        <v>8</v>
      </c>
      <c r="I9" s="4">
        <f t="shared" si="2"/>
        <v>0.43229166666666669</v>
      </c>
      <c r="J9" s="4">
        <f t="shared" si="3"/>
        <v>0.56770833333333337</v>
      </c>
    </row>
    <row r="10" spans="1:10" x14ac:dyDescent="0.2">
      <c r="A10">
        <v>2010</v>
      </c>
      <c r="B10">
        <v>111</v>
      </c>
      <c r="C10" t="s">
        <v>386</v>
      </c>
      <c r="D10" t="s">
        <v>401</v>
      </c>
      <c r="E10" s="3">
        <v>83750</v>
      </c>
      <c r="F10" s="3">
        <v>34750</v>
      </c>
      <c r="G10" s="3">
        <v>49000</v>
      </c>
      <c r="H10" s="6">
        <v>9</v>
      </c>
      <c r="I10" s="4">
        <f t="shared" si="2"/>
        <v>0.41492537313432837</v>
      </c>
      <c r="J10" s="4">
        <f t="shared" si="3"/>
        <v>0.58507462686567169</v>
      </c>
    </row>
    <row r="11" spans="1:10" x14ac:dyDescent="0.2">
      <c r="A11">
        <v>2010</v>
      </c>
      <c r="B11">
        <v>111</v>
      </c>
      <c r="C11" t="s">
        <v>386</v>
      </c>
      <c r="D11" t="s">
        <v>44</v>
      </c>
      <c r="E11" s="3">
        <v>80400</v>
      </c>
      <c r="F11" s="3">
        <v>36000</v>
      </c>
      <c r="G11" s="3">
        <v>44400</v>
      </c>
      <c r="H11" s="6">
        <v>10</v>
      </c>
      <c r="I11" s="4">
        <f t="shared" si="2"/>
        <v>0.44776119402985076</v>
      </c>
      <c r="J11" s="4">
        <f t="shared" si="3"/>
        <v>0.55223880597014929</v>
      </c>
    </row>
    <row r="12" spans="1:10" x14ac:dyDescent="0.2">
      <c r="A12">
        <v>2010</v>
      </c>
      <c r="B12">
        <v>111</v>
      </c>
      <c r="C12" t="s">
        <v>386</v>
      </c>
      <c r="D12" t="s">
        <v>402</v>
      </c>
      <c r="E12" s="3">
        <v>75048</v>
      </c>
      <c r="F12" s="3">
        <v>40048</v>
      </c>
      <c r="G12" s="3">
        <v>35000</v>
      </c>
      <c r="H12" s="6">
        <v>11</v>
      </c>
      <c r="I12" s="4">
        <f t="shared" si="2"/>
        <v>0.53363180897558893</v>
      </c>
      <c r="J12" s="4">
        <f t="shared" si="3"/>
        <v>0.46636819102441102</v>
      </c>
    </row>
    <row r="13" spans="1:10" x14ac:dyDescent="0.2">
      <c r="A13">
        <v>2010</v>
      </c>
      <c r="B13">
        <v>111</v>
      </c>
      <c r="C13" t="s">
        <v>386</v>
      </c>
      <c r="D13" t="s">
        <v>133</v>
      </c>
      <c r="E13" s="3">
        <v>66500</v>
      </c>
      <c r="F13" s="3">
        <v>30500</v>
      </c>
      <c r="G13" s="3">
        <v>36000</v>
      </c>
      <c r="H13" s="6">
        <v>12</v>
      </c>
      <c r="I13" s="4">
        <f t="shared" si="2"/>
        <v>0.45864661654135336</v>
      </c>
      <c r="J13" s="4">
        <f t="shared" si="3"/>
        <v>0.54135338345864659</v>
      </c>
    </row>
    <row r="14" spans="1:10" x14ac:dyDescent="0.2">
      <c r="A14">
        <v>2010</v>
      </c>
      <c r="B14">
        <v>111</v>
      </c>
      <c r="C14" t="s">
        <v>386</v>
      </c>
      <c r="D14" t="s">
        <v>114</v>
      </c>
      <c r="E14" s="3">
        <v>62999</v>
      </c>
      <c r="F14" s="3">
        <v>29259</v>
      </c>
      <c r="G14" s="3">
        <v>33740</v>
      </c>
      <c r="H14" s="6">
        <v>13</v>
      </c>
      <c r="I14" s="4">
        <f t="shared" si="2"/>
        <v>0.46443594342767347</v>
      </c>
      <c r="J14" s="4">
        <f t="shared" si="3"/>
        <v>0.53556405657232653</v>
      </c>
    </row>
    <row r="15" spans="1:10" x14ac:dyDescent="0.2">
      <c r="A15">
        <v>2010</v>
      </c>
      <c r="B15">
        <v>111</v>
      </c>
      <c r="C15" t="s">
        <v>386</v>
      </c>
      <c r="D15" t="s">
        <v>251</v>
      </c>
      <c r="E15" s="3">
        <v>55350</v>
      </c>
      <c r="F15" s="3">
        <v>55350</v>
      </c>
      <c r="G15" s="3">
        <v>0</v>
      </c>
      <c r="H15" s="6">
        <v>14</v>
      </c>
      <c r="I15" s="4">
        <f t="shared" si="2"/>
        <v>1</v>
      </c>
      <c r="J15" s="4">
        <f t="shared" si="3"/>
        <v>0</v>
      </c>
    </row>
    <row r="16" spans="1:10" x14ac:dyDescent="0.2">
      <c r="A16">
        <v>2010</v>
      </c>
      <c r="B16">
        <v>111</v>
      </c>
      <c r="C16" t="s">
        <v>386</v>
      </c>
      <c r="D16" t="s">
        <v>50</v>
      </c>
      <c r="E16" s="3">
        <v>55000</v>
      </c>
      <c r="F16" s="3">
        <v>19500</v>
      </c>
      <c r="G16" s="3">
        <v>35500</v>
      </c>
      <c r="H16" s="6">
        <v>15</v>
      </c>
      <c r="I16" s="4">
        <f t="shared" si="2"/>
        <v>0.35454545454545455</v>
      </c>
      <c r="J16" s="4">
        <f t="shared" si="3"/>
        <v>0.6454545454545455</v>
      </c>
    </row>
    <row r="17" spans="1:10" x14ac:dyDescent="0.2">
      <c r="A17">
        <v>2010</v>
      </c>
      <c r="B17">
        <v>111</v>
      </c>
      <c r="C17" t="s">
        <v>386</v>
      </c>
      <c r="D17" t="s">
        <v>403</v>
      </c>
      <c r="E17" s="3">
        <v>53563</v>
      </c>
      <c r="F17" s="3">
        <v>23500</v>
      </c>
      <c r="G17" s="3">
        <v>30063</v>
      </c>
      <c r="H17" s="6">
        <v>16</v>
      </c>
      <c r="I17" s="4">
        <f t="shared" si="2"/>
        <v>0.43873569441592142</v>
      </c>
      <c r="J17" s="4">
        <f t="shared" si="3"/>
        <v>0.56126430558407858</v>
      </c>
    </row>
    <row r="18" spans="1:10" x14ac:dyDescent="0.2">
      <c r="A18">
        <v>2010</v>
      </c>
      <c r="B18">
        <v>111</v>
      </c>
      <c r="C18" t="s">
        <v>386</v>
      </c>
      <c r="D18" t="s">
        <v>216</v>
      </c>
      <c r="E18" s="3">
        <v>42000</v>
      </c>
      <c r="F18" s="3">
        <v>13500</v>
      </c>
      <c r="G18" s="3">
        <v>28500</v>
      </c>
      <c r="H18" s="6">
        <v>17</v>
      </c>
      <c r="I18" s="4">
        <f t="shared" si="2"/>
        <v>0.32142857142857145</v>
      </c>
      <c r="J18" s="4">
        <f t="shared" si="3"/>
        <v>0.6785714285714286</v>
      </c>
    </row>
    <row r="19" spans="1:10" x14ac:dyDescent="0.2">
      <c r="A19">
        <v>2010</v>
      </c>
      <c r="B19">
        <v>111</v>
      </c>
      <c r="C19" t="s">
        <v>386</v>
      </c>
      <c r="D19" t="s">
        <v>404</v>
      </c>
      <c r="E19" s="3">
        <v>40000</v>
      </c>
      <c r="F19" s="3">
        <v>16500</v>
      </c>
      <c r="G19" s="3">
        <v>23500</v>
      </c>
      <c r="H19" s="6">
        <v>18</v>
      </c>
      <c r="I19" s="4">
        <f t="shared" si="2"/>
        <v>0.41249999999999998</v>
      </c>
      <c r="J19" s="4">
        <f t="shared" si="3"/>
        <v>0.58750000000000002</v>
      </c>
    </row>
    <row r="20" spans="1:10" x14ac:dyDescent="0.2">
      <c r="A20">
        <v>2010</v>
      </c>
      <c r="B20">
        <v>111</v>
      </c>
      <c r="C20" t="s">
        <v>386</v>
      </c>
      <c r="D20" t="s">
        <v>2</v>
      </c>
      <c r="E20" s="3">
        <v>39000</v>
      </c>
      <c r="F20" s="3">
        <v>20000</v>
      </c>
      <c r="G20" s="3">
        <v>19000</v>
      </c>
      <c r="H20" s="6">
        <v>19</v>
      </c>
      <c r="I20" s="4">
        <f t="shared" si="2"/>
        <v>0.51282051282051277</v>
      </c>
      <c r="J20" s="4">
        <f t="shared" si="3"/>
        <v>0.48717948717948717</v>
      </c>
    </row>
    <row r="21" spans="1:10" x14ac:dyDescent="0.2">
      <c r="A21">
        <v>2010</v>
      </c>
      <c r="B21">
        <v>111</v>
      </c>
      <c r="C21" t="s">
        <v>386</v>
      </c>
      <c r="D21" t="s">
        <v>405</v>
      </c>
      <c r="E21" s="3">
        <v>39000</v>
      </c>
      <c r="F21" s="3">
        <v>22500</v>
      </c>
      <c r="G21" s="3">
        <v>16500</v>
      </c>
      <c r="H21" s="6">
        <v>19</v>
      </c>
      <c r="I21" s="4">
        <f t="shared" si="2"/>
        <v>0.57692307692307687</v>
      </c>
      <c r="J21" s="4">
        <f t="shared" si="3"/>
        <v>0.42307692307692307</v>
      </c>
    </row>
    <row r="22" spans="1:10" x14ac:dyDescent="0.2">
      <c r="A22">
        <v>2010</v>
      </c>
      <c r="B22">
        <v>111</v>
      </c>
      <c r="C22" t="s">
        <v>386</v>
      </c>
      <c r="D22" t="s">
        <v>189</v>
      </c>
      <c r="E22" s="3">
        <v>38300</v>
      </c>
      <c r="F22" s="3">
        <v>18000</v>
      </c>
      <c r="G22" s="3">
        <v>20300</v>
      </c>
      <c r="H22" s="6">
        <v>21</v>
      </c>
      <c r="I22" s="4">
        <f t="shared" si="2"/>
        <v>0.4699738903394256</v>
      </c>
      <c r="J22" s="4">
        <f t="shared" si="3"/>
        <v>0.5300261096605744</v>
      </c>
    </row>
    <row r="23" spans="1:10" x14ac:dyDescent="0.2">
      <c r="A23">
        <v>2010</v>
      </c>
      <c r="B23">
        <v>111</v>
      </c>
      <c r="C23" t="s">
        <v>386</v>
      </c>
      <c r="D23" t="s">
        <v>161</v>
      </c>
      <c r="E23" s="3">
        <v>36000</v>
      </c>
      <c r="F23" s="3">
        <v>22500</v>
      </c>
      <c r="G23" s="3">
        <v>13500</v>
      </c>
      <c r="H23" s="6">
        <v>22</v>
      </c>
      <c r="I23" s="4">
        <f t="shared" si="2"/>
        <v>0.625</v>
      </c>
      <c r="J23" s="4">
        <f t="shared" si="3"/>
        <v>0.375</v>
      </c>
    </row>
    <row r="24" spans="1:10" x14ac:dyDescent="0.2">
      <c r="A24">
        <v>2010</v>
      </c>
      <c r="B24">
        <v>111</v>
      </c>
      <c r="C24" t="s">
        <v>386</v>
      </c>
      <c r="D24" t="s">
        <v>210</v>
      </c>
      <c r="E24" s="3">
        <v>34550</v>
      </c>
      <c r="F24" s="3">
        <v>23050</v>
      </c>
      <c r="G24" s="3">
        <v>11500</v>
      </c>
      <c r="H24" s="6">
        <v>23</v>
      </c>
      <c r="I24" s="4">
        <f t="shared" si="2"/>
        <v>0.66714905933429813</v>
      </c>
      <c r="J24" s="4">
        <f t="shared" si="3"/>
        <v>0.33285094066570187</v>
      </c>
    </row>
    <row r="25" spans="1:10" x14ac:dyDescent="0.2">
      <c r="A25">
        <v>2010</v>
      </c>
      <c r="B25">
        <v>111</v>
      </c>
      <c r="C25" t="s">
        <v>386</v>
      </c>
      <c r="D25" t="s">
        <v>185</v>
      </c>
      <c r="E25" s="3">
        <v>31586</v>
      </c>
      <c r="F25" s="3">
        <v>23586</v>
      </c>
      <c r="G25" s="3">
        <v>8000</v>
      </c>
      <c r="H25" s="6">
        <v>24</v>
      </c>
      <c r="I25" s="4">
        <f t="shared" si="2"/>
        <v>0.74672323181156208</v>
      </c>
      <c r="J25" s="4">
        <f t="shared" si="3"/>
        <v>0.25327676818843792</v>
      </c>
    </row>
    <row r="26" spans="1:10" x14ac:dyDescent="0.2">
      <c r="A26">
        <v>2010</v>
      </c>
      <c r="B26">
        <v>111</v>
      </c>
      <c r="C26" t="s">
        <v>386</v>
      </c>
      <c r="D26" t="s">
        <v>59</v>
      </c>
      <c r="E26" s="3">
        <v>28000</v>
      </c>
      <c r="F26" s="3">
        <v>19000</v>
      </c>
      <c r="G26" s="3">
        <v>9000</v>
      </c>
      <c r="H26" s="6">
        <v>25</v>
      </c>
      <c r="I26" s="4">
        <f t="shared" si="2"/>
        <v>0.6785714285714286</v>
      </c>
      <c r="J26" s="4">
        <f t="shared" si="3"/>
        <v>0.32142857142857145</v>
      </c>
    </row>
    <row r="27" spans="1:10" x14ac:dyDescent="0.2">
      <c r="A27">
        <v>2010</v>
      </c>
      <c r="B27">
        <v>111</v>
      </c>
      <c r="C27" t="s">
        <v>386</v>
      </c>
      <c r="D27" t="s">
        <v>149</v>
      </c>
      <c r="E27" s="3">
        <v>28000</v>
      </c>
      <c r="F27" s="3">
        <v>16500</v>
      </c>
      <c r="G27" s="3">
        <v>11500</v>
      </c>
      <c r="H27" s="6">
        <v>25</v>
      </c>
      <c r="I27" s="4">
        <f t="shared" si="2"/>
        <v>0.5892857142857143</v>
      </c>
      <c r="J27" s="4">
        <f t="shared" si="3"/>
        <v>0.4107142857142857</v>
      </c>
    </row>
    <row r="28" spans="1:10" x14ac:dyDescent="0.2">
      <c r="A28">
        <v>2010</v>
      </c>
      <c r="B28">
        <v>111</v>
      </c>
      <c r="C28" t="s">
        <v>386</v>
      </c>
      <c r="D28" t="s">
        <v>33</v>
      </c>
      <c r="E28" s="3">
        <v>26250</v>
      </c>
      <c r="F28" s="3">
        <v>24750</v>
      </c>
      <c r="G28" s="3">
        <v>1500</v>
      </c>
      <c r="H28" s="6">
        <v>27</v>
      </c>
      <c r="I28" s="4">
        <f t="shared" si="2"/>
        <v>0.94285714285714284</v>
      </c>
      <c r="J28" s="4">
        <f t="shared" si="3"/>
        <v>5.7142857142857141E-2</v>
      </c>
    </row>
    <row r="29" spans="1:10" x14ac:dyDescent="0.2">
      <c r="A29">
        <v>2010</v>
      </c>
      <c r="B29">
        <v>111</v>
      </c>
      <c r="C29" t="s">
        <v>386</v>
      </c>
      <c r="D29" t="s">
        <v>406</v>
      </c>
      <c r="E29" s="3">
        <v>26250</v>
      </c>
      <c r="F29" s="3">
        <v>14000</v>
      </c>
      <c r="G29" s="3">
        <v>12250</v>
      </c>
      <c r="H29" s="6">
        <v>27</v>
      </c>
      <c r="I29" s="4">
        <f t="shared" si="2"/>
        <v>0.53333333333333333</v>
      </c>
      <c r="J29" s="4">
        <f t="shared" si="3"/>
        <v>0.46666666666666667</v>
      </c>
    </row>
    <row r="30" spans="1:10" x14ac:dyDescent="0.2">
      <c r="A30">
        <v>2010</v>
      </c>
      <c r="B30">
        <v>111</v>
      </c>
      <c r="C30" t="s">
        <v>386</v>
      </c>
      <c r="D30" t="s">
        <v>258</v>
      </c>
      <c r="E30" s="3">
        <v>22300</v>
      </c>
      <c r="F30" s="3">
        <v>21300</v>
      </c>
      <c r="G30" s="3">
        <v>1000</v>
      </c>
      <c r="H30" s="6">
        <v>29</v>
      </c>
      <c r="I30" s="4">
        <f t="shared" si="2"/>
        <v>0.95515695067264572</v>
      </c>
      <c r="J30" s="4">
        <f t="shared" si="3"/>
        <v>4.4843049327354258E-2</v>
      </c>
    </row>
    <row r="31" spans="1:10" x14ac:dyDescent="0.2">
      <c r="A31">
        <v>2010</v>
      </c>
      <c r="B31">
        <v>111</v>
      </c>
      <c r="C31" t="s">
        <v>386</v>
      </c>
      <c r="D31" t="s">
        <v>407</v>
      </c>
      <c r="E31" s="3">
        <v>20000</v>
      </c>
      <c r="F31" s="3">
        <v>16000</v>
      </c>
      <c r="G31" s="3">
        <v>4000</v>
      </c>
      <c r="H31" s="6">
        <v>30</v>
      </c>
      <c r="I31" s="4">
        <f t="shared" si="2"/>
        <v>0.8</v>
      </c>
      <c r="J31" s="4">
        <f t="shared" si="3"/>
        <v>0.2</v>
      </c>
    </row>
    <row r="32" spans="1:10" x14ac:dyDescent="0.2">
      <c r="A32">
        <v>2010</v>
      </c>
      <c r="B32">
        <v>111</v>
      </c>
      <c r="C32" t="s">
        <v>387</v>
      </c>
      <c r="D32" t="s">
        <v>8</v>
      </c>
      <c r="E32" s="3">
        <v>167800</v>
      </c>
      <c r="F32" s="3">
        <v>96550</v>
      </c>
      <c r="G32" s="3">
        <v>67250</v>
      </c>
      <c r="H32" s="6">
        <v>1</v>
      </c>
      <c r="I32" s="4">
        <f t="shared" si="2"/>
        <v>0.57538736591179973</v>
      </c>
      <c r="J32" s="4">
        <f t="shared" si="3"/>
        <v>0.40077473182359952</v>
      </c>
    </row>
    <row r="33" spans="1:10" x14ac:dyDescent="0.2">
      <c r="A33">
        <v>2010</v>
      </c>
      <c r="B33">
        <v>111</v>
      </c>
      <c r="C33" t="s">
        <v>387</v>
      </c>
      <c r="D33" t="s">
        <v>399</v>
      </c>
      <c r="E33" s="3">
        <v>131800</v>
      </c>
      <c r="F33" s="3">
        <v>56300</v>
      </c>
      <c r="G33" s="3">
        <v>63500</v>
      </c>
      <c r="H33" s="6">
        <v>2</v>
      </c>
      <c r="I33" s="4">
        <f t="shared" si="2"/>
        <v>0.42716236722306528</v>
      </c>
      <c r="J33" s="4">
        <f t="shared" si="3"/>
        <v>0.48179059180576633</v>
      </c>
    </row>
    <row r="34" spans="1:10" x14ac:dyDescent="0.2">
      <c r="A34">
        <v>2010</v>
      </c>
      <c r="B34">
        <v>111</v>
      </c>
      <c r="C34" t="s">
        <v>387</v>
      </c>
      <c r="D34" t="s">
        <v>135</v>
      </c>
      <c r="E34" s="3">
        <v>130800</v>
      </c>
      <c r="F34" s="3">
        <v>35000</v>
      </c>
      <c r="G34" s="3">
        <v>89300</v>
      </c>
      <c r="H34" s="6">
        <v>3</v>
      </c>
      <c r="I34" s="4">
        <f t="shared" si="2"/>
        <v>0.26758409785932724</v>
      </c>
      <c r="J34" s="4">
        <f t="shared" si="3"/>
        <v>0.68272171253822633</v>
      </c>
    </row>
    <row r="35" spans="1:10" x14ac:dyDescent="0.2">
      <c r="A35">
        <v>2010</v>
      </c>
      <c r="B35">
        <v>111</v>
      </c>
      <c r="C35" t="s">
        <v>387</v>
      </c>
      <c r="D35" t="s">
        <v>98</v>
      </c>
      <c r="E35" s="3">
        <v>115974</v>
      </c>
      <c r="F35" s="3">
        <v>44724</v>
      </c>
      <c r="G35" s="3">
        <v>70250</v>
      </c>
      <c r="H35" s="6">
        <v>4</v>
      </c>
      <c r="I35" s="4">
        <f t="shared" si="2"/>
        <v>0.38563816027730352</v>
      </c>
      <c r="J35" s="4">
        <f t="shared" si="3"/>
        <v>0.60573921741079895</v>
      </c>
    </row>
    <row r="36" spans="1:10" x14ac:dyDescent="0.2">
      <c r="A36">
        <v>2010</v>
      </c>
      <c r="B36">
        <v>111</v>
      </c>
      <c r="C36" t="s">
        <v>387</v>
      </c>
      <c r="D36" t="s">
        <v>357</v>
      </c>
      <c r="E36" s="3">
        <v>83800</v>
      </c>
      <c r="F36" s="3">
        <v>26800</v>
      </c>
      <c r="G36" s="3">
        <v>46500</v>
      </c>
      <c r="H36" s="6">
        <v>5</v>
      </c>
      <c r="I36" s="4">
        <f t="shared" si="2"/>
        <v>0.31980906921241048</v>
      </c>
      <c r="J36" s="4">
        <f t="shared" si="3"/>
        <v>0.55489260143198094</v>
      </c>
    </row>
    <row r="37" spans="1:10" x14ac:dyDescent="0.2">
      <c r="A37">
        <v>2010</v>
      </c>
      <c r="B37">
        <v>111</v>
      </c>
      <c r="C37" t="s">
        <v>387</v>
      </c>
      <c r="D37" t="s">
        <v>78</v>
      </c>
      <c r="E37" s="3">
        <v>83300</v>
      </c>
      <c r="F37" s="3">
        <v>35000</v>
      </c>
      <c r="G37" s="3">
        <v>44800</v>
      </c>
      <c r="H37" s="6">
        <v>6</v>
      </c>
      <c r="I37" s="4">
        <f t="shared" si="2"/>
        <v>0.42016806722689076</v>
      </c>
      <c r="J37" s="4">
        <f t="shared" si="3"/>
        <v>0.53781512605042014</v>
      </c>
    </row>
    <row r="38" spans="1:10" x14ac:dyDescent="0.2">
      <c r="A38">
        <v>2010</v>
      </c>
      <c r="B38">
        <v>111</v>
      </c>
      <c r="C38" t="s">
        <v>387</v>
      </c>
      <c r="D38" t="s">
        <v>401</v>
      </c>
      <c r="E38" s="3">
        <v>72950</v>
      </c>
      <c r="F38" s="3">
        <v>27700</v>
      </c>
      <c r="G38" s="3">
        <v>42750</v>
      </c>
      <c r="H38" s="6">
        <v>7</v>
      </c>
      <c r="I38" s="4">
        <f t="shared" si="2"/>
        <v>0.37971213159698425</v>
      </c>
      <c r="J38" s="4">
        <f t="shared" si="3"/>
        <v>0.58601782042494854</v>
      </c>
    </row>
    <row r="39" spans="1:10" x14ac:dyDescent="0.2">
      <c r="A39">
        <v>2010</v>
      </c>
      <c r="B39">
        <v>111</v>
      </c>
      <c r="C39" t="s">
        <v>387</v>
      </c>
      <c r="D39" t="s">
        <v>62</v>
      </c>
      <c r="E39" s="3">
        <v>55100</v>
      </c>
      <c r="F39" s="3">
        <v>19500</v>
      </c>
      <c r="G39" s="3">
        <v>33600</v>
      </c>
      <c r="H39" s="6">
        <v>8</v>
      </c>
      <c r="I39" s="4">
        <f t="shared" si="2"/>
        <v>0.35390199637023595</v>
      </c>
      <c r="J39" s="4">
        <f t="shared" si="3"/>
        <v>0.6098003629764065</v>
      </c>
    </row>
    <row r="40" spans="1:10" x14ac:dyDescent="0.2">
      <c r="A40">
        <v>2010</v>
      </c>
      <c r="B40">
        <v>111</v>
      </c>
      <c r="C40" t="s">
        <v>387</v>
      </c>
      <c r="D40" t="s">
        <v>44</v>
      </c>
      <c r="E40" s="3">
        <v>53000</v>
      </c>
      <c r="F40" s="3">
        <v>9000</v>
      </c>
      <c r="G40" s="3">
        <v>38250</v>
      </c>
      <c r="H40" s="6">
        <v>9</v>
      </c>
      <c r="I40" s="4">
        <f t="shared" si="2"/>
        <v>0.16981132075471697</v>
      </c>
      <c r="J40" s="4">
        <f t="shared" si="3"/>
        <v>0.72169811320754718</v>
      </c>
    </row>
    <row r="41" spans="1:10" x14ac:dyDescent="0.2">
      <c r="A41">
        <v>2010</v>
      </c>
      <c r="B41">
        <v>111</v>
      </c>
      <c r="C41" t="s">
        <v>387</v>
      </c>
      <c r="D41" t="s">
        <v>2</v>
      </c>
      <c r="E41" s="3">
        <v>46300</v>
      </c>
      <c r="F41" s="3">
        <v>8000</v>
      </c>
      <c r="G41" s="3">
        <v>38300</v>
      </c>
      <c r="H41" s="6">
        <v>10</v>
      </c>
      <c r="I41" s="4">
        <f t="shared" si="2"/>
        <v>0.17278617710583152</v>
      </c>
      <c r="J41" s="4">
        <f t="shared" si="3"/>
        <v>0.82721382289416845</v>
      </c>
    </row>
    <row r="42" spans="1:10" x14ac:dyDescent="0.2">
      <c r="A42">
        <v>2010</v>
      </c>
      <c r="B42">
        <v>111</v>
      </c>
      <c r="C42" t="s">
        <v>387</v>
      </c>
      <c r="D42" t="s">
        <v>114</v>
      </c>
      <c r="E42" s="3">
        <v>42510</v>
      </c>
      <c r="F42" s="3">
        <v>12850</v>
      </c>
      <c r="G42" s="3">
        <v>28660</v>
      </c>
      <c r="H42" s="6">
        <v>11</v>
      </c>
      <c r="I42" s="4">
        <f t="shared" si="2"/>
        <v>0.30228181604328391</v>
      </c>
      <c r="J42" s="4">
        <f t="shared" si="3"/>
        <v>0.67419430722183016</v>
      </c>
    </row>
    <row r="43" spans="1:10" x14ac:dyDescent="0.2">
      <c r="A43">
        <v>2010</v>
      </c>
      <c r="B43">
        <v>111</v>
      </c>
      <c r="C43" t="s">
        <v>387</v>
      </c>
      <c r="D43" t="s">
        <v>216</v>
      </c>
      <c r="E43" s="3">
        <v>41500</v>
      </c>
      <c r="F43" s="3">
        <v>14000</v>
      </c>
      <c r="G43" s="3">
        <v>27500</v>
      </c>
      <c r="H43" s="6">
        <v>12</v>
      </c>
      <c r="I43" s="4">
        <f t="shared" si="2"/>
        <v>0.33734939759036142</v>
      </c>
      <c r="J43" s="4">
        <f t="shared" si="3"/>
        <v>0.66265060240963858</v>
      </c>
    </row>
    <row r="44" spans="1:10" x14ac:dyDescent="0.2">
      <c r="A44">
        <v>2010</v>
      </c>
      <c r="B44">
        <v>111</v>
      </c>
      <c r="C44" t="s">
        <v>387</v>
      </c>
      <c r="D44" t="s">
        <v>194</v>
      </c>
      <c r="E44" s="3">
        <v>40300</v>
      </c>
      <c r="F44" s="3">
        <v>39300</v>
      </c>
      <c r="G44" s="3">
        <v>1000</v>
      </c>
      <c r="H44" s="6">
        <v>13</v>
      </c>
      <c r="I44" s="4">
        <f t="shared" si="2"/>
        <v>0.97518610421836227</v>
      </c>
      <c r="J44" s="4">
        <f t="shared" si="3"/>
        <v>2.4813895781637719E-2</v>
      </c>
    </row>
    <row r="45" spans="1:10" x14ac:dyDescent="0.2">
      <c r="A45">
        <v>2010</v>
      </c>
      <c r="B45">
        <v>111</v>
      </c>
      <c r="C45" t="s">
        <v>387</v>
      </c>
      <c r="D45" t="s">
        <v>133</v>
      </c>
      <c r="E45" s="3">
        <v>37450</v>
      </c>
      <c r="F45" s="3">
        <v>20700</v>
      </c>
      <c r="G45" s="3">
        <v>16750</v>
      </c>
      <c r="H45" s="6">
        <v>14</v>
      </c>
      <c r="I45" s="4">
        <f t="shared" si="2"/>
        <v>0.55273698264352467</v>
      </c>
      <c r="J45" s="4">
        <f t="shared" si="3"/>
        <v>0.44726301735647528</v>
      </c>
    </row>
    <row r="46" spans="1:10" x14ac:dyDescent="0.2">
      <c r="A46">
        <v>2010</v>
      </c>
      <c r="B46">
        <v>111</v>
      </c>
      <c r="C46" t="s">
        <v>387</v>
      </c>
      <c r="D46" t="s">
        <v>189</v>
      </c>
      <c r="E46" s="3">
        <v>35000</v>
      </c>
      <c r="F46" s="3">
        <v>17250</v>
      </c>
      <c r="G46" s="3">
        <v>16000</v>
      </c>
      <c r="H46" s="6">
        <v>15</v>
      </c>
      <c r="I46" s="4">
        <f t="shared" si="2"/>
        <v>0.49285714285714288</v>
      </c>
      <c r="J46" s="4">
        <f t="shared" si="3"/>
        <v>0.45714285714285713</v>
      </c>
    </row>
    <row r="47" spans="1:10" x14ac:dyDescent="0.2">
      <c r="A47">
        <v>2010</v>
      </c>
      <c r="B47">
        <v>111</v>
      </c>
      <c r="C47" t="s">
        <v>387</v>
      </c>
      <c r="D47" t="s">
        <v>218</v>
      </c>
      <c r="E47" s="3">
        <v>30000</v>
      </c>
      <c r="F47" s="3">
        <v>0</v>
      </c>
      <c r="G47" s="3">
        <v>30000</v>
      </c>
      <c r="H47" s="6">
        <v>16</v>
      </c>
      <c r="I47" s="4">
        <f t="shared" si="2"/>
        <v>0</v>
      </c>
      <c r="J47" s="4">
        <f t="shared" si="3"/>
        <v>1</v>
      </c>
    </row>
    <row r="48" spans="1:10" x14ac:dyDescent="0.2">
      <c r="A48">
        <v>2010</v>
      </c>
      <c r="B48">
        <v>111</v>
      </c>
      <c r="C48" t="s">
        <v>387</v>
      </c>
      <c r="D48" t="s">
        <v>59</v>
      </c>
      <c r="E48" s="3">
        <v>29500</v>
      </c>
      <c r="F48" s="3">
        <v>9000</v>
      </c>
      <c r="G48" s="3">
        <v>20500</v>
      </c>
      <c r="H48" s="6">
        <v>17</v>
      </c>
      <c r="I48" s="4">
        <f t="shared" si="2"/>
        <v>0.30508474576271188</v>
      </c>
      <c r="J48" s="4">
        <f t="shared" si="3"/>
        <v>0.69491525423728817</v>
      </c>
    </row>
    <row r="49" spans="1:10" x14ac:dyDescent="0.2">
      <c r="A49">
        <v>2010</v>
      </c>
      <c r="B49">
        <v>111</v>
      </c>
      <c r="C49" t="s">
        <v>387</v>
      </c>
      <c r="D49" t="s">
        <v>230</v>
      </c>
      <c r="E49" s="3">
        <v>29000</v>
      </c>
      <c r="F49" s="3">
        <v>3000</v>
      </c>
      <c r="G49" s="3">
        <v>26000</v>
      </c>
      <c r="H49" s="6">
        <v>18</v>
      </c>
      <c r="I49" s="4">
        <f t="shared" si="2"/>
        <v>0.10344827586206896</v>
      </c>
      <c r="J49" s="4">
        <f t="shared" si="3"/>
        <v>0.89655172413793105</v>
      </c>
    </row>
    <row r="50" spans="1:10" x14ac:dyDescent="0.2">
      <c r="A50">
        <v>2010</v>
      </c>
      <c r="B50">
        <v>111</v>
      </c>
      <c r="C50" t="s">
        <v>387</v>
      </c>
      <c r="D50" t="s">
        <v>402</v>
      </c>
      <c r="E50" s="3">
        <v>27500</v>
      </c>
      <c r="F50" s="3">
        <v>14000</v>
      </c>
      <c r="G50" s="3">
        <v>12500</v>
      </c>
      <c r="H50" s="6">
        <v>19</v>
      </c>
      <c r="I50" s="4">
        <f t="shared" si="2"/>
        <v>0.50909090909090904</v>
      </c>
      <c r="J50" s="4">
        <f t="shared" si="3"/>
        <v>0.45454545454545453</v>
      </c>
    </row>
    <row r="51" spans="1:10" x14ac:dyDescent="0.2">
      <c r="A51">
        <v>2010</v>
      </c>
      <c r="B51">
        <v>111</v>
      </c>
      <c r="C51" t="s">
        <v>387</v>
      </c>
      <c r="D51" t="s">
        <v>405</v>
      </c>
      <c r="E51" s="3">
        <v>25900</v>
      </c>
      <c r="F51" s="3">
        <v>9400</v>
      </c>
      <c r="G51" s="3">
        <v>16500</v>
      </c>
      <c r="H51" s="6">
        <v>20</v>
      </c>
      <c r="I51" s="4">
        <f t="shared" si="2"/>
        <v>0.36293436293436293</v>
      </c>
      <c r="J51" s="4">
        <f t="shared" si="3"/>
        <v>0.63706563706563701</v>
      </c>
    </row>
    <row r="52" spans="1:10" x14ac:dyDescent="0.2">
      <c r="A52">
        <v>2010</v>
      </c>
      <c r="B52">
        <v>111</v>
      </c>
      <c r="C52" t="s">
        <v>387</v>
      </c>
      <c r="D52" t="s">
        <v>408</v>
      </c>
      <c r="E52" s="3">
        <v>25750</v>
      </c>
      <c r="F52" s="3">
        <v>18750</v>
      </c>
      <c r="G52" s="3">
        <v>7000</v>
      </c>
      <c r="H52" s="6">
        <v>21</v>
      </c>
      <c r="I52" s="4">
        <f t="shared" si="2"/>
        <v>0.72815533980582525</v>
      </c>
      <c r="J52" s="4">
        <f t="shared" si="3"/>
        <v>0.27184466019417475</v>
      </c>
    </row>
    <row r="53" spans="1:10" x14ac:dyDescent="0.2">
      <c r="A53">
        <v>2010</v>
      </c>
      <c r="B53">
        <v>111</v>
      </c>
      <c r="C53" t="s">
        <v>387</v>
      </c>
      <c r="D53" t="s">
        <v>404</v>
      </c>
      <c r="E53" s="3">
        <v>25150</v>
      </c>
      <c r="F53" s="3">
        <v>9900</v>
      </c>
      <c r="G53" s="3">
        <v>15250</v>
      </c>
      <c r="H53" s="6">
        <v>22</v>
      </c>
      <c r="I53" s="4">
        <f t="shared" si="2"/>
        <v>0.39363817097415504</v>
      </c>
      <c r="J53" s="4">
        <f t="shared" si="3"/>
        <v>0.6063618290258449</v>
      </c>
    </row>
    <row r="54" spans="1:10" x14ac:dyDescent="0.2">
      <c r="A54">
        <v>2010</v>
      </c>
      <c r="B54">
        <v>111</v>
      </c>
      <c r="C54" t="s">
        <v>387</v>
      </c>
      <c r="D54" t="s">
        <v>199</v>
      </c>
      <c r="E54" s="3">
        <v>25100</v>
      </c>
      <c r="F54" s="3">
        <v>10100</v>
      </c>
      <c r="G54" s="3">
        <v>15000</v>
      </c>
      <c r="H54" s="6">
        <v>23</v>
      </c>
      <c r="I54" s="4">
        <f t="shared" si="2"/>
        <v>0.40239043824701193</v>
      </c>
      <c r="J54" s="4">
        <f t="shared" si="3"/>
        <v>0.59760956175298807</v>
      </c>
    </row>
    <row r="55" spans="1:10" x14ac:dyDescent="0.2">
      <c r="A55">
        <v>2010</v>
      </c>
      <c r="B55">
        <v>111</v>
      </c>
      <c r="C55" t="s">
        <v>387</v>
      </c>
      <c r="D55" t="s">
        <v>0</v>
      </c>
      <c r="E55" s="3">
        <v>23300</v>
      </c>
      <c r="F55" s="3">
        <v>16900</v>
      </c>
      <c r="G55" s="3">
        <v>4000</v>
      </c>
      <c r="H55" s="6">
        <v>24</v>
      </c>
      <c r="I55" s="4">
        <f t="shared" si="2"/>
        <v>0.72532188841201717</v>
      </c>
      <c r="J55" s="4">
        <f t="shared" si="3"/>
        <v>0.17167381974248927</v>
      </c>
    </row>
    <row r="56" spans="1:10" x14ac:dyDescent="0.2">
      <c r="A56">
        <v>2010</v>
      </c>
      <c r="B56">
        <v>111</v>
      </c>
      <c r="C56" t="s">
        <v>387</v>
      </c>
      <c r="D56" t="s">
        <v>400</v>
      </c>
      <c r="E56" s="3">
        <v>22500</v>
      </c>
      <c r="F56" s="3">
        <v>7500</v>
      </c>
      <c r="G56" s="3">
        <v>11000</v>
      </c>
      <c r="H56" s="6">
        <v>25</v>
      </c>
      <c r="I56" s="4">
        <f t="shared" si="2"/>
        <v>0.33333333333333331</v>
      </c>
      <c r="J56" s="4">
        <f t="shared" si="3"/>
        <v>0.48888888888888887</v>
      </c>
    </row>
    <row r="57" spans="1:10" x14ac:dyDescent="0.2">
      <c r="A57">
        <v>2010</v>
      </c>
      <c r="B57">
        <v>111</v>
      </c>
      <c r="C57" t="s">
        <v>387</v>
      </c>
      <c r="D57" t="s">
        <v>403</v>
      </c>
      <c r="E57" s="3">
        <v>22250</v>
      </c>
      <c r="F57" s="3">
        <v>8500</v>
      </c>
      <c r="G57" s="3">
        <v>12750</v>
      </c>
      <c r="H57" s="6">
        <v>26</v>
      </c>
      <c r="I57" s="4">
        <f t="shared" si="2"/>
        <v>0.38202247191011235</v>
      </c>
      <c r="J57" s="4">
        <f t="shared" si="3"/>
        <v>0.5730337078651685</v>
      </c>
    </row>
    <row r="58" spans="1:10" x14ac:dyDescent="0.2">
      <c r="A58">
        <v>2010</v>
      </c>
      <c r="B58">
        <v>111</v>
      </c>
      <c r="C58" t="s">
        <v>387</v>
      </c>
      <c r="D58" t="s">
        <v>33</v>
      </c>
      <c r="E58" s="3">
        <v>22000</v>
      </c>
      <c r="F58" s="3">
        <v>12500</v>
      </c>
      <c r="G58" s="3">
        <v>9500</v>
      </c>
      <c r="H58" s="6">
        <v>27</v>
      </c>
      <c r="I58" s="4">
        <f t="shared" si="2"/>
        <v>0.56818181818181823</v>
      </c>
      <c r="J58" s="4">
        <f t="shared" si="3"/>
        <v>0.43181818181818182</v>
      </c>
    </row>
    <row r="59" spans="1:10" x14ac:dyDescent="0.2">
      <c r="A59">
        <v>2010</v>
      </c>
      <c r="B59">
        <v>111</v>
      </c>
      <c r="C59" t="s">
        <v>387</v>
      </c>
      <c r="D59" t="s">
        <v>409</v>
      </c>
      <c r="E59" s="3">
        <v>21000</v>
      </c>
      <c r="F59" s="3">
        <v>6000</v>
      </c>
      <c r="G59" s="3">
        <v>15000</v>
      </c>
      <c r="H59" s="6">
        <v>28</v>
      </c>
      <c r="I59" s="4">
        <f t="shared" si="2"/>
        <v>0.2857142857142857</v>
      </c>
      <c r="J59" s="4">
        <f t="shared" si="3"/>
        <v>0.7142857142857143</v>
      </c>
    </row>
    <row r="60" spans="1:10" x14ac:dyDescent="0.2">
      <c r="A60">
        <v>2010</v>
      </c>
      <c r="B60">
        <v>111</v>
      </c>
      <c r="C60" t="s">
        <v>387</v>
      </c>
      <c r="D60" t="s">
        <v>50</v>
      </c>
      <c r="E60" s="3">
        <v>21000</v>
      </c>
      <c r="F60" s="3">
        <v>6000</v>
      </c>
      <c r="G60" s="3">
        <v>15000</v>
      </c>
      <c r="H60" s="6">
        <v>28</v>
      </c>
      <c r="I60" s="4">
        <f t="shared" si="2"/>
        <v>0.2857142857142857</v>
      </c>
      <c r="J60" s="4">
        <f t="shared" si="3"/>
        <v>0.7142857142857143</v>
      </c>
    </row>
    <row r="61" spans="1:10" x14ac:dyDescent="0.2">
      <c r="A61">
        <v>2010</v>
      </c>
      <c r="B61">
        <v>111</v>
      </c>
      <c r="C61" t="s">
        <v>387</v>
      </c>
      <c r="D61" t="s">
        <v>237</v>
      </c>
      <c r="E61" s="3">
        <v>19500</v>
      </c>
      <c r="F61" s="3">
        <v>8500</v>
      </c>
      <c r="G61" s="3">
        <v>11000</v>
      </c>
      <c r="H61" s="6">
        <v>30</v>
      </c>
      <c r="I61" s="4">
        <f t="shared" si="2"/>
        <v>0.4358974358974359</v>
      </c>
      <c r="J61" s="4">
        <f t="shared" si="3"/>
        <v>0.5641025641025641</v>
      </c>
    </row>
    <row r="62" spans="1:10" x14ac:dyDescent="0.2">
      <c r="A62">
        <v>2012</v>
      </c>
      <c r="B62">
        <v>112</v>
      </c>
      <c r="C62" t="s">
        <v>386</v>
      </c>
      <c r="D62" t="s">
        <v>135</v>
      </c>
      <c r="E62" s="3">
        <v>140500</v>
      </c>
      <c r="F62" s="3">
        <v>45000</v>
      </c>
      <c r="G62" s="3">
        <v>95500</v>
      </c>
      <c r="H62" s="6">
        <v>1</v>
      </c>
      <c r="I62" s="4">
        <f t="shared" si="2"/>
        <v>0.32028469750889682</v>
      </c>
      <c r="J62" s="4">
        <f t="shared" si="3"/>
        <v>0.67971530249110323</v>
      </c>
    </row>
    <row r="63" spans="1:10" x14ac:dyDescent="0.2">
      <c r="A63">
        <v>2012</v>
      </c>
      <c r="B63">
        <v>112</v>
      </c>
      <c r="C63" t="s">
        <v>386</v>
      </c>
      <c r="D63" t="s">
        <v>357</v>
      </c>
      <c r="E63" s="3">
        <v>134250</v>
      </c>
      <c r="F63" s="3">
        <v>42500</v>
      </c>
      <c r="G63" s="3">
        <v>91750</v>
      </c>
      <c r="H63" s="6">
        <v>2</v>
      </c>
      <c r="I63" s="4">
        <f t="shared" si="2"/>
        <v>0.31657355679702048</v>
      </c>
      <c r="J63" s="4">
        <f t="shared" si="3"/>
        <v>0.68342644320297952</v>
      </c>
    </row>
    <row r="64" spans="1:10" x14ac:dyDescent="0.2">
      <c r="A64">
        <v>2012</v>
      </c>
      <c r="B64">
        <v>112</v>
      </c>
      <c r="C64" t="s">
        <v>386</v>
      </c>
      <c r="D64" t="s">
        <v>399</v>
      </c>
      <c r="E64" s="3">
        <v>121000</v>
      </c>
      <c r="F64" s="3">
        <v>34500</v>
      </c>
      <c r="G64" s="3">
        <v>86500</v>
      </c>
      <c r="H64" s="6">
        <v>3</v>
      </c>
      <c r="I64" s="4">
        <f t="shared" si="2"/>
        <v>0.28512396694214875</v>
      </c>
      <c r="J64" s="4">
        <f t="shared" si="3"/>
        <v>0.71487603305785119</v>
      </c>
    </row>
    <row r="65" spans="1:10" x14ac:dyDescent="0.2">
      <c r="A65">
        <v>2012</v>
      </c>
      <c r="B65">
        <v>112</v>
      </c>
      <c r="C65" t="s">
        <v>386</v>
      </c>
      <c r="D65" t="s">
        <v>98</v>
      </c>
      <c r="E65" s="3">
        <v>109500</v>
      </c>
      <c r="F65" s="3">
        <v>34000</v>
      </c>
      <c r="G65" s="3">
        <v>75500</v>
      </c>
      <c r="H65" s="6">
        <v>4</v>
      </c>
      <c r="I65" s="4">
        <f t="shared" si="2"/>
        <v>0.31050228310502281</v>
      </c>
      <c r="J65" s="4">
        <f t="shared" si="3"/>
        <v>0.68949771689497719</v>
      </c>
    </row>
    <row r="66" spans="1:10" x14ac:dyDescent="0.2">
      <c r="A66">
        <v>2012</v>
      </c>
      <c r="B66">
        <v>112</v>
      </c>
      <c r="C66" t="s">
        <v>386</v>
      </c>
      <c r="D66" t="s">
        <v>8</v>
      </c>
      <c r="E66" s="3">
        <v>104750</v>
      </c>
      <c r="F66" s="3">
        <v>37000</v>
      </c>
      <c r="G66" s="3">
        <v>67750</v>
      </c>
      <c r="H66" s="6">
        <v>5</v>
      </c>
      <c r="I66" s="4">
        <f t="shared" si="2"/>
        <v>0.3532219570405728</v>
      </c>
      <c r="J66" s="4">
        <f t="shared" si="3"/>
        <v>0.6467780429594272</v>
      </c>
    </row>
    <row r="67" spans="1:10" x14ac:dyDescent="0.2">
      <c r="A67">
        <v>2012</v>
      </c>
      <c r="B67">
        <v>112</v>
      </c>
      <c r="C67" t="s">
        <v>386</v>
      </c>
      <c r="D67" t="s">
        <v>78</v>
      </c>
      <c r="E67" s="3">
        <v>56000</v>
      </c>
      <c r="F67" s="3">
        <v>15000</v>
      </c>
      <c r="G67" s="3">
        <v>41000</v>
      </c>
      <c r="H67" s="6">
        <v>6</v>
      </c>
      <c r="I67" s="4">
        <f t="shared" si="2"/>
        <v>0.26785714285714285</v>
      </c>
      <c r="J67" s="4">
        <f t="shared" si="3"/>
        <v>0.7321428571428571</v>
      </c>
    </row>
    <row r="68" spans="1:10" x14ac:dyDescent="0.2">
      <c r="A68">
        <v>2012</v>
      </c>
      <c r="B68">
        <v>112</v>
      </c>
      <c r="C68" t="s">
        <v>386</v>
      </c>
      <c r="D68" t="s">
        <v>400</v>
      </c>
      <c r="E68" s="3">
        <v>54500</v>
      </c>
      <c r="F68" s="3">
        <v>7500</v>
      </c>
      <c r="G68" s="3">
        <v>47000</v>
      </c>
      <c r="H68" s="6">
        <v>7</v>
      </c>
      <c r="I68" s="4">
        <f t="shared" si="2"/>
        <v>0.13761467889908258</v>
      </c>
      <c r="J68" s="4">
        <f t="shared" si="3"/>
        <v>0.86238532110091748</v>
      </c>
    </row>
    <row r="69" spans="1:10" x14ac:dyDescent="0.2">
      <c r="A69">
        <v>2012</v>
      </c>
      <c r="B69">
        <v>112</v>
      </c>
      <c r="C69" t="s">
        <v>386</v>
      </c>
      <c r="D69" t="s">
        <v>62</v>
      </c>
      <c r="E69" s="3">
        <v>47500</v>
      </c>
      <c r="F69" s="3">
        <v>11000</v>
      </c>
      <c r="G69" s="3">
        <v>36500</v>
      </c>
      <c r="H69" s="6">
        <v>8</v>
      </c>
      <c r="I69" s="4">
        <f t="shared" si="2"/>
        <v>0.23157894736842105</v>
      </c>
      <c r="J69" s="4">
        <f t="shared" si="3"/>
        <v>0.76842105263157889</v>
      </c>
    </row>
    <row r="70" spans="1:10" x14ac:dyDescent="0.2">
      <c r="A70">
        <v>2012</v>
      </c>
      <c r="B70">
        <v>112</v>
      </c>
      <c r="C70" t="s">
        <v>386</v>
      </c>
      <c r="D70" t="s">
        <v>114</v>
      </c>
      <c r="E70" s="3">
        <v>43652</v>
      </c>
      <c r="F70" s="3">
        <v>23065</v>
      </c>
      <c r="G70" s="3">
        <v>20587</v>
      </c>
      <c r="H70" s="6">
        <v>9</v>
      </c>
      <c r="I70" s="4">
        <f t="shared" ref="I70:I122" si="4">F70/E70</f>
        <v>0.52838357921744705</v>
      </c>
      <c r="J70" s="4">
        <f t="shared" ref="J70:J122" si="5">G70/E70</f>
        <v>0.47161642078255289</v>
      </c>
    </row>
    <row r="71" spans="1:10" x14ac:dyDescent="0.2">
      <c r="A71">
        <v>2012</v>
      </c>
      <c r="B71">
        <v>112</v>
      </c>
      <c r="C71" t="s">
        <v>386</v>
      </c>
      <c r="D71" t="s">
        <v>402</v>
      </c>
      <c r="E71" s="3">
        <v>42033</v>
      </c>
      <c r="F71" s="3">
        <v>11639</v>
      </c>
      <c r="G71" s="3">
        <v>30394</v>
      </c>
      <c r="H71" s="6">
        <v>10</v>
      </c>
      <c r="I71" s="4">
        <f t="shared" si="4"/>
        <v>0.27690148216877214</v>
      </c>
      <c r="J71" s="4">
        <f t="shared" si="5"/>
        <v>0.7230985178312278</v>
      </c>
    </row>
    <row r="72" spans="1:10" x14ac:dyDescent="0.2">
      <c r="A72">
        <v>2012</v>
      </c>
      <c r="B72">
        <v>112</v>
      </c>
      <c r="C72" t="s">
        <v>386</v>
      </c>
      <c r="D72" t="s">
        <v>401</v>
      </c>
      <c r="E72" s="3">
        <v>39000</v>
      </c>
      <c r="F72" s="3">
        <v>9500</v>
      </c>
      <c r="G72" s="3">
        <v>29500</v>
      </c>
      <c r="H72" s="6">
        <v>11</v>
      </c>
      <c r="I72" s="4">
        <f t="shared" si="4"/>
        <v>0.24358974358974358</v>
      </c>
      <c r="J72" s="4">
        <f t="shared" si="5"/>
        <v>0.75641025641025639</v>
      </c>
    </row>
    <row r="73" spans="1:10" x14ac:dyDescent="0.2">
      <c r="A73">
        <v>2012</v>
      </c>
      <c r="B73">
        <v>112</v>
      </c>
      <c r="C73" t="s">
        <v>386</v>
      </c>
      <c r="D73" t="s">
        <v>44</v>
      </c>
      <c r="E73" s="3">
        <v>35500</v>
      </c>
      <c r="F73" s="3">
        <v>9000</v>
      </c>
      <c r="G73" s="3">
        <v>26500</v>
      </c>
      <c r="H73" s="6">
        <v>12</v>
      </c>
      <c r="I73" s="4">
        <f t="shared" si="4"/>
        <v>0.25352112676056338</v>
      </c>
      <c r="J73" s="4">
        <f t="shared" si="5"/>
        <v>0.74647887323943662</v>
      </c>
    </row>
    <row r="74" spans="1:10" x14ac:dyDescent="0.2">
      <c r="A74">
        <v>2012</v>
      </c>
      <c r="B74">
        <v>112</v>
      </c>
      <c r="C74" t="s">
        <v>386</v>
      </c>
      <c r="D74" t="s">
        <v>410</v>
      </c>
      <c r="E74" s="3">
        <v>29500</v>
      </c>
      <c r="F74" s="3">
        <v>8000</v>
      </c>
      <c r="G74" s="3">
        <v>21500</v>
      </c>
      <c r="H74" s="6">
        <v>13</v>
      </c>
      <c r="I74" s="4">
        <f t="shared" si="4"/>
        <v>0.2711864406779661</v>
      </c>
      <c r="J74" s="4">
        <f t="shared" si="5"/>
        <v>0.72881355932203384</v>
      </c>
    </row>
    <row r="75" spans="1:10" x14ac:dyDescent="0.2">
      <c r="A75">
        <v>2012</v>
      </c>
      <c r="B75">
        <v>112</v>
      </c>
      <c r="C75" t="s">
        <v>386</v>
      </c>
      <c r="D75" t="s">
        <v>133</v>
      </c>
      <c r="E75" s="3">
        <v>24500</v>
      </c>
      <c r="F75" s="3">
        <v>9000</v>
      </c>
      <c r="G75" s="3">
        <v>15500</v>
      </c>
      <c r="H75" s="6">
        <v>14</v>
      </c>
      <c r="I75" s="4">
        <f t="shared" si="4"/>
        <v>0.36734693877551022</v>
      </c>
      <c r="J75" s="4">
        <f t="shared" si="5"/>
        <v>0.63265306122448983</v>
      </c>
    </row>
    <row r="76" spans="1:10" x14ac:dyDescent="0.2">
      <c r="A76">
        <v>2012</v>
      </c>
      <c r="B76">
        <v>112</v>
      </c>
      <c r="C76" t="s">
        <v>386</v>
      </c>
      <c r="D76" t="s">
        <v>404</v>
      </c>
      <c r="E76" s="3">
        <v>23000</v>
      </c>
      <c r="F76" s="3">
        <v>7000</v>
      </c>
      <c r="G76" s="3">
        <v>16000</v>
      </c>
      <c r="H76" s="6">
        <v>15</v>
      </c>
      <c r="I76" s="4">
        <f t="shared" si="4"/>
        <v>0.30434782608695654</v>
      </c>
      <c r="J76" s="4">
        <f t="shared" si="5"/>
        <v>0.69565217391304346</v>
      </c>
    </row>
    <row r="77" spans="1:10" x14ac:dyDescent="0.2">
      <c r="A77">
        <v>2012</v>
      </c>
      <c r="B77">
        <v>112</v>
      </c>
      <c r="C77" t="s">
        <v>386</v>
      </c>
      <c r="D77" t="s">
        <v>406</v>
      </c>
      <c r="E77" s="3">
        <v>21500</v>
      </c>
      <c r="F77" s="3">
        <v>3500</v>
      </c>
      <c r="G77" s="3">
        <v>18000</v>
      </c>
      <c r="H77" s="6">
        <v>16</v>
      </c>
      <c r="I77" s="4">
        <f t="shared" si="4"/>
        <v>0.16279069767441862</v>
      </c>
      <c r="J77" s="4">
        <f t="shared" si="5"/>
        <v>0.83720930232558144</v>
      </c>
    </row>
    <row r="78" spans="1:10" x14ac:dyDescent="0.2">
      <c r="A78">
        <v>2012</v>
      </c>
      <c r="B78">
        <v>112</v>
      </c>
      <c r="C78" t="s">
        <v>386</v>
      </c>
      <c r="D78" t="s">
        <v>405</v>
      </c>
      <c r="E78" s="3">
        <v>19500</v>
      </c>
      <c r="F78" s="3">
        <v>14500</v>
      </c>
      <c r="G78" s="3">
        <v>5000</v>
      </c>
      <c r="H78" s="6">
        <v>17</v>
      </c>
      <c r="I78" s="4">
        <f t="shared" si="4"/>
        <v>0.74358974358974361</v>
      </c>
      <c r="J78" s="4">
        <f t="shared" si="5"/>
        <v>0.25641025641025639</v>
      </c>
    </row>
    <row r="79" spans="1:10" x14ac:dyDescent="0.2">
      <c r="A79">
        <v>2012</v>
      </c>
      <c r="B79">
        <v>112</v>
      </c>
      <c r="C79" t="s">
        <v>386</v>
      </c>
      <c r="D79" t="s">
        <v>59</v>
      </c>
      <c r="E79" s="3">
        <v>19500</v>
      </c>
      <c r="F79" s="3">
        <v>8000</v>
      </c>
      <c r="G79" s="3">
        <v>11500</v>
      </c>
      <c r="H79" s="6">
        <v>17</v>
      </c>
      <c r="I79" s="4">
        <f t="shared" si="4"/>
        <v>0.41025641025641024</v>
      </c>
      <c r="J79" s="4">
        <f t="shared" si="5"/>
        <v>0.58974358974358976</v>
      </c>
    </row>
    <row r="80" spans="1:10" x14ac:dyDescent="0.2">
      <c r="A80">
        <v>2012</v>
      </c>
      <c r="B80">
        <v>112</v>
      </c>
      <c r="C80" t="s">
        <v>386</v>
      </c>
      <c r="D80" t="s">
        <v>359</v>
      </c>
      <c r="E80" s="3">
        <v>16500</v>
      </c>
      <c r="F80" s="3">
        <v>7500</v>
      </c>
      <c r="G80" s="3">
        <v>9000</v>
      </c>
      <c r="H80" s="6">
        <v>19</v>
      </c>
      <c r="I80" s="4">
        <f t="shared" si="4"/>
        <v>0.45454545454545453</v>
      </c>
      <c r="J80" s="4">
        <f t="shared" si="5"/>
        <v>0.54545454545454541</v>
      </c>
    </row>
    <row r="81" spans="1:10" x14ac:dyDescent="0.2">
      <c r="A81">
        <v>2012</v>
      </c>
      <c r="B81">
        <v>112</v>
      </c>
      <c r="C81" t="s">
        <v>386</v>
      </c>
      <c r="D81" t="s">
        <v>189</v>
      </c>
      <c r="E81" s="3">
        <v>15750</v>
      </c>
      <c r="F81" s="3">
        <v>3500</v>
      </c>
      <c r="G81" s="3">
        <v>12250</v>
      </c>
      <c r="H81" s="6">
        <v>20</v>
      </c>
      <c r="I81" s="4">
        <f t="shared" si="4"/>
        <v>0.22222222222222221</v>
      </c>
      <c r="J81" s="4">
        <f t="shared" si="5"/>
        <v>0.77777777777777779</v>
      </c>
    </row>
    <row r="82" spans="1:10" x14ac:dyDescent="0.2">
      <c r="A82">
        <v>2012</v>
      </c>
      <c r="B82">
        <v>112</v>
      </c>
      <c r="C82" t="s">
        <v>386</v>
      </c>
      <c r="D82" t="s">
        <v>161</v>
      </c>
      <c r="E82" s="3">
        <v>13500</v>
      </c>
      <c r="F82" s="3">
        <v>5000</v>
      </c>
      <c r="G82" s="3">
        <v>8500</v>
      </c>
      <c r="H82" s="6">
        <v>21</v>
      </c>
      <c r="I82" s="4">
        <f t="shared" si="4"/>
        <v>0.37037037037037035</v>
      </c>
      <c r="J82" s="4">
        <f t="shared" si="5"/>
        <v>0.62962962962962965</v>
      </c>
    </row>
    <row r="83" spans="1:10" x14ac:dyDescent="0.2">
      <c r="A83">
        <v>2012</v>
      </c>
      <c r="B83">
        <v>112</v>
      </c>
      <c r="C83" t="s">
        <v>386</v>
      </c>
      <c r="D83" t="s">
        <v>168</v>
      </c>
      <c r="E83" s="3">
        <v>11500</v>
      </c>
      <c r="F83" s="3">
        <v>0</v>
      </c>
      <c r="G83" s="3">
        <v>11500</v>
      </c>
      <c r="H83" s="6">
        <v>22</v>
      </c>
      <c r="I83" s="4">
        <f t="shared" si="4"/>
        <v>0</v>
      </c>
      <c r="J83" s="4">
        <f t="shared" si="5"/>
        <v>1</v>
      </c>
    </row>
    <row r="84" spans="1:10" x14ac:dyDescent="0.2">
      <c r="A84">
        <v>2012</v>
      </c>
      <c r="B84">
        <v>112</v>
      </c>
      <c r="C84" t="s">
        <v>386</v>
      </c>
      <c r="D84" t="s">
        <v>411</v>
      </c>
      <c r="E84" s="3">
        <v>11500</v>
      </c>
      <c r="F84" s="3">
        <v>2000</v>
      </c>
      <c r="G84" s="3">
        <v>9500</v>
      </c>
      <c r="H84" s="6">
        <v>22</v>
      </c>
      <c r="I84" s="4">
        <f t="shared" si="4"/>
        <v>0.17391304347826086</v>
      </c>
      <c r="J84" s="4">
        <f t="shared" si="5"/>
        <v>0.82608695652173914</v>
      </c>
    </row>
    <row r="85" spans="1:10" x14ac:dyDescent="0.2">
      <c r="A85">
        <v>2012</v>
      </c>
      <c r="B85">
        <v>112</v>
      </c>
      <c r="C85" t="s">
        <v>386</v>
      </c>
      <c r="D85" t="s">
        <v>149</v>
      </c>
      <c r="E85" s="3">
        <v>11500</v>
      </c>
      <c r="F85" s="3">
        <v>0</v>
      </c>
      <c r="G85" s="3">
        <v>11500</v>
      </c>
      <c r="H85" s="6">
        <v>22</v>
      </c>
      <c r="I85" s="4">
        <f t="shared" si="4"/>
        <v>0</v>
      </c>
      <c r="J85" s="4">
        <f t="shared" si="5"/>
        <v>1</v>
      </c>
    </row>
    <row r="86" spans="1:10" x14ac:dyDescent="0.2">
      <c r="A86">
        <v>2012</v>
      </c>
      <c r="B86">
        <v>112</v>
      </c>
      <c r="C86" t="s">
        <v>386</v>
      </c>
      <c r="D86" t="s">
        <v>0</v>
      </c>
      <c r="E86" s="3">
        <v>11000</v>
      </c>
      <c r="F86" s="3">
        <v>4500</v>
      </c>
      <c r="G86" s="3">
        <v>6500</v>
      </c>
      <c r="H86" s="6">
        <v>25</v>
      </c>
      <c r="I86" s="4">
        <f t="shared" si="4"/>
        <v>0.40909090909090912</v>
      </c>
      <c r="J86" s="4">
        <f t="shared" si="5"/>
        <v>0.59090909090909094</v>
      </c>
    </row>
    <row r="87" spans="1:10" x14ac:dyDescent="0.2">
      <c r="A87">
        <v>2012</v>
      </c>
      <c r="B87">
        <v>112</v>
      </c>
      <c r="C87" t="s">
        <v>386</v>
      </c>
      <c r="D87" t="s">
        <v>440</v>
      </c>
      <c r="E87" s="3">
        <v>11000</v>
      </c>
      <c r="F87" s="3">
        <v>2500</v>
      </c>
      <c r="G87" s="3">
        <v>8500</v>
      </c>
      <c r="H87" s="6">
        <v>25</v>
      </c>
      <c r="I87" s="4">
        <f t="shared" si="4"/>
        <v>0.22727272727272727</v>
      </c>
      <c r="J87" s="4">
        <f t="shared" si="5"/>
        <v>0.77272727272727271</v>
      </c>
    </row>
    <row r="88" spans="1:10" x14ac:dyDescent="0.2">
      <c r="A88">
        <v>2012</v>
      </c>
      <c r="B88">
        <v>112</v>
      </c>
      <c r="C88" t="s">
        <v>386</v>
      </c>
      <c r="D88" t="s">
        <v>230</v>
      </c>
      <c r="E88" s="3">
        <v>10600</v>
      </c>
      <c r="F88" s="3">
        <v>3600</v>
      </c>
      <c r="G88" s="3">
        <v>7000</v>
      </c>
      <c r="H88" s="6">
        <v>27</v>
      </c>
      <c r="I88" s="4">
        <f t="shared" si="4"/>
        <v>0.33962264150943394</v>
      </c>
      <c r="J88" s="4">
        <f t="shared" si="5"/>
        <v>0.660377358490566</v>
      </c>
    </row>
    <row r="89" spans="1:10" x14ac:dyDescent="0.2">
      <c r="A89">
        <v>2012</v>
      </c>
      <c r="B89">
        <v>112</v>
      </c>
      <c r="C89" t="s">
        <v>386</v>
      </c>
      <c r="D89" t="s">
        <v>403</v>
      </c>
      <c r="E89" s="3">
        <v>10500</v>
      </c>
      <c r="F89" s="3">
        <v>3000</v>
      </c>
      <c r="G89" s="3">
        <v>7500</v>
      </c>
      <c r="H89" s="6">
        <v>28</v>
      </c>
      <c r="I89" s="4">
        <f t="shared" si="4"/>
        <v>0.2857142857142857</v>
      </c>
      <c r="J89" s="4">
        <f t="shared" si="5"/>
        <v>0.7142857142857143</v>
      </c>
    </row>
    <row r="90" spans="1:10" x14ac:dyDescent="0.2">
      <c r="A90">
        <v>2012</v>
      </c>
      <c r="B90">
        <v>112</v>
      </c>
      <c r="C90" t="s">
        <v>386</v>
      </c>
      <c r="D90" t="s">
        <v>63</v>
      </c>
      <c r="E90" s="3">
        <v>10500</v>
      </c>
      <c r="F90" s="3">
        <v>1500</v>
      </c>
      <c r="G90" s="3">
        <v>9000</v>
      </c>
      <c r="H90" s="6">
        <v>28</v>
      </c>
      <c r="I90" s="4">
        <f t="shared" si="4"/>
        <v>0.14285714285714285</v>
      </c>
      <c r="J90" s="4">
        <f t="shared" si="5"/>
        <v>0.8571428571428571</v>
      </c>
    </row>
    <row r="91" spans="1:10" x14ac:dyDescent="0.2">
      <c r="A91">
        <v>2012</v>
      </c>
      <c r="B91">
        <v>112</v>
      </c>
      <c r="C91" t="s">
        <v>386</v>
      </c>
      <c r="D91" t="s">
        <v>258</v>
      </c>
      <c r="E91" s="3">
        <v>10500</v>
      </c>
      <c r="F91" s="3">
        <v>10500</v>
      </c>
      <c r="G91" s="3">
        <v>0</v>
      </c>
      <c r="H91" s="6">
        <v>28</v>
      </c>
      <c r="I91" s="4">
        <f t="shared" si="4"/>
        <v>1</v>
      </c>
      <c r="J91" s="4">
        <f t="shared" si="5"/>
        <v>0</v>
      </c>
    </row>
    <row r="92" spans="1:10" x14ac:dyDescent="0.2">
      <c r="A92">
        <v>2012</v>
      </c>
      <c r="B92">
        <v>112</v>
      </c>
      <c r="C92" t="s">
        <v>386</v>
      </c>
      <c r="D92" t="s">
        <v>412</v>
      </c>
      <c r="E92" s="3">
        <v>10500</v>
      </c>
      <c r="F92" s="3">
        <v>2500</v>
      </c>
      <c r="G92" s="3">
        <v>8000</v>
      </c>
      <c r="H92" s="6">
        <v>28</v>
      </c>
      <c r="I92" s="4">
        <f t="shared" si="4"/>
        <v>0.23809523809523808</v>
      </c>
      <c r="J92" s="4">
        <f t="shared" si="5"/>
        <v>0.76190476190476186</v>
      </c>
    </row>
    <row r="93" spans="1:10" x14ac:dyDescent="0.2">
      <c r="A93">
        <v>2012</v>
      </c>
      <c r="B93">
        <v>112</v>
      </c>
      <c r="C93" t="s">
        <v>387</v>
      </c>
      <c r="D93" t="s">
        <v>357</v>
      </c>
      <c r="E93" s="3">
        <v>87800</v>
      </c>
      <c r="F93" s="3">
        <v>29000</v>
      </c>
      <c r="G93" s="3">
        <v>58800</v>
      </c>
      <c r="H93" s="6">
        <v>1</v>
      </c>
      <c r="I93" s="4">
        <f t="shared" si="4"/>
        <v>0.33029612756264237</v>
      </c>
      <c r="J93" s="4">
        <f t="shared" si="5"/>
        <v>0.66970387243735763</v>
      </c>
    </row>
    <row r="94" spans="1:10" x14ac:dyDescent="0.2">
      <c r="A94">
        <v>2012</v>
      </c>
      <c r="B94">
        <v>112</v>
      </c>
      <c r="C94" t="s">
        <v>387</v>
      </c>
      <c r="D94" t="s">
        <v>8</v>
      </c>
      <c r="E94" s="3">
        <v>62750</v>
      </c>
      <c r="F94" s="3">
        <v>27000</v>
      </c>
      <c r="G94" s="3">
        <v>35750</v>
      </c>
      <c r="H94" s="6">
        <v>2</v>
      </c>
      <c r="I94" s="4">
        <f t="shared" si="4"/>
        <v>0.4302788844621514</v>
      </c>
      <c r="J94" s="4">
        <f t="shared" si="5"/>
        <v>0.56972111553784865</v>
      </c>
    </row>
    <row r="95" spans="1:10" x14ac:dyDescent="0.2">
      <c r="A95">
        <v>2012</v>
      </c>
      <c r="B95">
        <v>112</v>
      </c>
      <c r="C95" t="s">
        <v>387</v>
      </c>
      <c r="D95" t="s">
        <v>98</v>
      </c>
      <c r="E95" s="3">
        <v>57000</v>
      </c>
      <c r="F95" s="3">
        <v>24000</v>
      </c>
      <c r="G95" s="3">
        <v>33000</v>
      </c>
      <c r="H95" s="6">
        <v>3</v>
      </c>
      <c r="I95" s="4">
        <f t="shared" si="4"/>
        <v>0.42105263157894735</v>
      </c>
      <c r="J95" s="4">
        <f t="shared" si="5"/>
        <v>0.57894736842105265</v>
      </c>
    </row>
    <row r="96" spans="1:10" x14ac:dyDescent="0.2">
      <c r="A96">
        <v>2012</v>
      </c>
      <c r="B96">
        <v>112</v>
      </c>
      <c r="C96" t="s">
        <v>387</v>
      </c>
      <c r="D96" t="s">
        <v>399</v>
      </c>
      <c r="E96" s="3">
        <v>51000</v>
      </c>
      <c r="F96" s="3">
        <v>24000</v>
      </c>
      <c r="G96" s="3">
        <v>27000</v>
      </c>
      <c r="H96" s="6">
        <v>4</v>
      </c>
      <c r="I96" s="4">
        <f t="shared" si="4"/>
        <v>0.47058823529411764</v>
      </c>
      <c r="J96" s="4">
        <f t="shared" si="5"/>
        <v>0.52941176470588236</v>
      </c>
    </row>
    <row r="97" spans="1:10" x14ac:dyDescent="0.2">
      <c r="A97">
        <v>2012</v>
      </c>
      <c r="B97">
        <v>112</v>
      </c>
      <c r="C97" t="s">
        <v>387</v>
      </c>
      <c r="D97" t="s">
        <v>122</v>
      </c>
      <c r="E97" s="3">
        <v>39500</v>
      </c>
      <c r="F97" s="3">
        <v>26500</v>
      </c>
      <c r="G97" s="3">
        <v>13000</v>
      </c>
      <c r="H97" s="6">
        <v>5</v>
      </c>
      <c r="I97" s="4">
        <f t="shared" si="4"/>
        <v>0.67088607594936711</v>
      </c>
      <c r="J97" s="4">
        <f t="shared" si="5"/>
        <v>0.32911392405063289</v>
      </c>
    </row>
    <row r="98" spans="1:10" x14ac:dyDescent="0.2">
      <c r="A98">
        <v>2012</v>
      </c>
      <c r="B98">
        <v>112</v>
      </c>
      <c r="C98" t="s">
        <v>387</v>
      </c>
      <c r="D98" t="s">
        <v>135</v>
      </c>
      <c r="E98" s="3">
        <v>32300</v>
      </c>
      <c r="F98" s="3">
        <v>10800</v>
      </c>
      <c r="G98" s="3">
        <v>21500</v>
      </c>
      <c r="H98" s="6">
        <v>6</v>
      </c>
      <c r="I98" s="4">
        <f t="shared" si="4"/>
        <v>0.33436532507739936</v>
      </c>
      <c r="J98" s="4">
        <f t="shared" si="5"/>
        <v>0.66563467492260064</v>
      </c>
    </row>
    <row r="99" spans="1:10" x14ac:dyDescent="0.2">
      <c r="A99">
        <v>2012</v>
      </c>
      <c r="B99">
        <v>112</v>
      </c>
      <c r="C99" t="s">
        <v>387</v>
      </c>
      <c r="D99" t="s">
        <v>78</v>
      </c>
      <c r="E99" s="3">
        <v>28500</v>
      </c>
      <c r="F99" s="3">
        <v>15500</v>
      </c>
      <c r="G99" s="3">
        <v>13000</v>
      </c>
      <c r="H99" s="6">
        <v>7</v>
      </c>
      <c r="I99" s="4">
        <f t="shared" si="4"/>
        <v>0.54385964912280704</v>
      </c>
      <c r="J99" s="4">
        <f t="shared" si="5"/>
        <v>0.45614035087719296</v>
      </c>
    </row>
    <row r="100" spans="1:10" x14ac:dyDescent="0.2">
      <c r="A100">
        <v>2012</v>
      </c>
      <c r="B100">
        <v>112</v>
      </c>
      <c r="C100" t="s">
        <v>387</v>
      </c>
      <c r="D100" t="s">
        <v>44</v>
      </c>
      <c r="E100" s="3">
        <v>22500</v>
      </c>
      <c r="F100" s="3">
        <v>5250</v>
      </c>
      <c r="G100" s="3">
        <v>17000</v>
      </c>
      <c r="H100" s="6">
        <v>8</v>
      </c>
      <c r="I100" s="4">
        <f t="shared" si="4"/>
        <v>0.23333333333333334</v>
      </c>
      <c r="J100" s="4">
        <f t="shared" si="5"/>
        <v>0.75555555555555554</v>
      </c>
    </row>
    <row r="101" spans="1:10" x14ac:dyDescent="0.2">
      <c r="A101">
        <v>2012</v>
      </c>
      <c r="B101">
        <v>112</v>
      </c>
      <c r="C101" t="s">
        <v>387</v>
      </c>
      <c r="D101" t="s">
        <v>401</v>
      </c>
      <c r="E101" s="3">
        <v>22000</v>
      </c>
      <c r="F101" s="3">
        <v>13000</v>
      </c>
      <c r="G101" s="3">
        <v>9000</v>
      </c>
      <c r="H101" s="6">
        <v>9</v>
      </c>
      <c r="I101" s="4">
        <f t="shared" si="4"/>
        <v>0.59090909090909094</v>
      </c>
      <c r="J101" s="4">
        <f t="shared" si="5"/>
        <v>0.40909090909090912</v>
      </c>
    </row>
    <row r="102" spans="1:10" x14ac:dyDescent="0.2">
      <c r="A102">
        <v>2012</v>
      </c>
      <c r="B102">
        <v>112</v>
      </c>
      <c r="C102" t="s">
        <v>387</v>
      </c>
      <c r="D102" t="s">
        <v>408</v>
      </c>
      <c r="E102" s="3">
        <v>21000</v>
      </c>
      <c r="F102" s="3">
        <v>12000</v>
      </c>
      <c r="G102" s="3">
        <v>9000</v>
      </c>
      <c r="H102" s="6">
        <v>10</v>
      </c>
      <c r="I102" s="4">
        <f t="shared" si="4"/>
        <v>0.5714285714285714</v>
      </c>
      <c r="J102" s="4">
        <f t="shared" si="5"/>
        <v>0.42857142857142855</v>
      </c>
    </row>
    <row r="103" spans="1:10" x14ac:dyDescent="0.2">
      <c r="A103">
        <v>2012</v>
      </c>
      <c r="B103">
        <v>112</v>
      </c>
      <c r="C103" t="s">
        <v>387</v>
      </c>
      <c r="D103" t="s">
        <v>410</v>
      </c>
      <c r="E103" s="3">
        <v>19500</v>
      </c>
      <c r="F103" s="3">
        <v>6000</v>
      </c>
      <c r="G103" s="3">
        <v>13500</v>
      </c>
      <c r="H103" s="6">
        <v>11</v>
      </c>
      <c r="I103" s="4">
        <f t="shared" si="4"/>
        <v>0.30769230769230771</v>
      </c>
      <c r="J103" s="4">
        <f t="shared" si="5"/>
        <v>0.69230769230769229</v>
      </c>
    </row>
    <row r="104" spans="1:10" x14ac:dyDescent="0.2">
      <c r="A104">
        <v>2012</v>
      </c>
      <c r="B104">
        <v>112</v>
      </c>
      <c r="C104" t="s">
        <v>387</v>
      </c>
      <c r="D104" t="s">
        <v>59</v>
      </c>
      <c r="E104" s="3">
        <v>18000</v>
      </c>
      <c r="F104" s="3">
        <v>4000</v>
      </c>
      <c r="G104" s="3">
        <v>14000</v>
      </c>
      <c r="H104" s="6">
        <v>12</v>
      </c>
      <c r="I104" s="4">
        <f t="shared" si="4"/>
        <v>0.22222222222222221</v>
      </c>
      <c r="J104" s="4">
        <f t="shared" si="5"/>
        <v>0.77777777777777779</v>
      </c>
    </row>
    <row r="105" spans="1:10" x14ac:dyDescent="0.2">
      <c r="A105">
        <v>2012</v>
      </c>
      <c r="B105">
        <v>112</v>
      </c>
      <c r="C105" t="s">
        <v>387</v>
      </c>
      <c r="D105" t="s">
        <v>114</v>
      </c>
      <c r="E105" s="3">
        <v>17726</v>
      </c>
      <c r="F105" s="3">
        <v>7149</v>
      </c>
      <c r="G105" s="3">
        <v>10577</v>
      </c>
      <c r="H105" s="6">
        <v>13</v>
      </c>
      <c r="I105" s="4">
        <f t="shared" si="4"/>
        <v>0.40330587837075482</v>
      </c>
      <c r="J105" s="4">
        <f t="shared" si="5"/>
        <v>0.59669412162924518</v>
      </c>
    </row>
    <row r="106" spans="1:10" x14ac:dyDescent="0.2">
      <c r="A106">
        <v>2012</v>
      </c>
      <c r="B106">
        <v>112</v>
      </c>
      <c r="C106" t="s">
        <v>387</v>
      </c>
      <c r="D106" t="s">
        <v>133</v>
      </c>
      <c r="E106" s="3">
        <v>17500</v>
      </c>
      <c r="F106" s="3">
        <v>6000</v>
      </c>
      <c r="G106" s="3">
        <v>11500</v>
      </c>
      <c r="H106" s="6">
        <v>14</v>
      </c>
      <c r="I106" s="4">
        <f t="shared" si="4"/>
        <v>0.34285714285714286</v>
      </c>
      <c r="J106" s="4">
        <f t="shared" si="5"/>
        <v>0.65714285714285714</v>
      </c>
    </row>
    <row r="107" spans="1:10" x14ac:dyDescent="0.2">
      <c r="A107">
        <v>2012</v>
      </c>
      <c r="B107">
        <v>112</v>
      </c>
      <c r="C107" t="s">
        <v>387</v>
      </c>
      <c r="D107" t="s">
        <v>189</v>
      </c>
      <c r="E107" s="3">
        <v>15500</v>
      </c>
      <c r="F107" s="3">
        <v>5500</v>
      </c>
      <c r="G107" s="3">
        <v>10000</v>
      </c>
      <c r="H107" s="6">
        <v>15</v>
      </c>
      <c r="I107" s="4">
        <f t="shared" si="4"/>
        <v>0.35483870967741937</v>
      </c>
      <c r="J107" s="4">
        <f t="shared" si="5"/>
        <v>0.64516129032258063</v>
      </c>
    </row>
    <row r="108" spans="1:10" x14ac:dyDescent="0.2">
      <c r="A108">
        <v>2012</v>
      </c>
      <c r="B108">
        <v>112</v>
      </c>
      <c r="C108" t="s">
        <v>387</v>
      </c>
      <c r="D108" t="s">
        <v>62</v>
      </c>
      <c r="E108" s="3">
        <v>14500</v>
      </c>
      <c r="F108" s="3">
        <v>7500</v>
      </c>
      <c r="G108" s="3">
        <v>7000</v>
      </c>
      <c r="H108" s="6">
        <v>16</v>
      </c>
      <c r="I108" s="4">
        <f t="shared" si="4"/>
        <v>0.51724137931034486</v>
      </c>
      <c r="J108" s="4">
        <f t="shared" si="5"/>
        <v>0.48275862068965519</v>
      </c>
    </row>
    <row r="109" spans="1:10" x14ac:dyDescent="0.2">
      <c r="A109">
        <v>2012</v>
      </c>
      <c r="B109">
        <v>112</v>
      </c>
      <c r="C109" t="s">
        <v>387</v>
      </c>
      <c r="D109" t="s">
        <v>63</v>
      </c>
      <c r="E109" s="3">
        <v>13500</v>
      </c>
      <c r="F109" s="3">
        <v>12500</v>
      </c>
      <c r="G109" s="3">
        <v>1000</v>
      </c>
      <c r="H109" s="6">
        <v>17</v>
      </c>
      <c r="I109" s="4">
        <f t="shared" si="4"/>
        <v>0.92592592592592593</v>
      </c>
      <c r="J109" s="4">
        <f t="shared" si="5"/>
        <v>7.407407407407407E-2</v>
      </c>
    </row>
    <row r="110" spans="1:10" x14ac:dyDescent="0.2">
      <c r="A110">
        <v>2012</v>
      </c>
      <c r="B110">
        <v>112</v>
      </c>
      <c r="C110" t="s">
        <v>387</v>
      </c>
      <c r="D110" t="s">
        <v>2</v>
      </c>
      <c r="E110" s="3">
        <v>11250</v>
      </c>
      <c r="F110" s="3">
        <v>2500</v>
      </c>
      <c r="G110" s="3">
        <v>8750</v>
      </c>
      <c r="H110" s="6">
        <v>18</v>
      </c>
      <c r="I110" s="4">
        <f t="shared" si="4"/>
        <v>0.22222222222222221</v>
      </c>
      <c r="J110" s="4">
        <f t="shared" si="5"/>
        <v>0.77777777777777779</v>
      </c>
    </row>
    <row r="111" spans="1:10" x14ac:dyDescent="0.2">
      <c r="A111">
        <v>2012</v>
      </c>
      <c r="B111">
        <v>112</v>
      </c>
      <c r="C111" t="s">
        <v>387</v>
      </c>
      <c r="D111" t="s">
        <v>33</v>
      </c>
      <c r="E111" s="3">
        <v>11000</v>
      </c>
      <c r="F111" s="3">
        <v>6000</v>
      </c>
      <c r="G111" s="3">
        <v>5000</v>
      </c>
      <c r="H111" s="6">
        <v>19</v>
      </c>
      <c r="I111" s="4">
        <f t="shared" si="4"/>
        <v>0.54545454545454541</v>
      </c>
      <c r="J111" s="4">
        <f t="shared" si="5"/>
        <v>0.45454545454545453</v>
      </c>
    </row>
    <row r="112" spans="1:10" x14ac:dyDescent="0.2">
      <c r="A112">
        <v>2012</v>
      </c>
      <c r="B112">
        <v>112</v>
      </c>
      <c r="C112" t="s">
        <v>387</v>
      </c>
      <c r="D112" t="s">
        <v>171</v>
      </c>
      <c r="E112" s="3">
        <v>10000</v>
      </c>
      <c r="F112" s="3">
        <v>3000</v>
      </c>
      <c r="G112" s="3">
        <v>7000</v>
      </c>
      <c r="H112" s="6">
        <v>20</v>
      </c>
      <c r="I112" s="4">
        <f t="shared" si="4"/>
        <v>0.3</v>
      </c>
      <c r="J112" s="4">
        <f t="shared" si="5"/>
        <v>0.7</v>
      </c>
    </row>
    <row r="113" spans="1:10" x14ac:dyDescent="0.2">
      <c r="A113">
        <v>2012</v>
      </c>
      <c r="B113">
        <v>112</v>
      </c>
      <c r="C113" t="s">
        <v>387</v>
      </c>
      <c r="D113" t="s">
        <v>237</v>
      </c>
      <c r="E113" s="3">
        <v>10000</v>
      </c>
      <c r="F113" s="3">
        <v>6000</v>
      </c>
      <c r="G113" s="3">
        <v>4000</v>
      </c>
      <c r="H113" s="6">
        <v>20</v>
      </c>
      <c r="I113" s="4">
        <f t="shared" si="4"/>
        <v>0.6</v>
      </c>
      <c r="J113" s="4">
        <f t="shared" si="5"/>
        <v>0.4</v>
      </c>
    </row>
    <row r="114" spans="1:10" x14ac:dyDescent="0.2">
      <c r="A114">
        <v>2012</v>
      </c>
      <c r="B114">
        <v>112</v>
      </c>
      <c r="C114" t="s">
        <v>387</v>
      </c>
      <c r="D114" t="s">
        <v>0</v>
      </c>
      <c r="E114" s="3">
        <v>9000</v>
      </c>
      <c r="F114" s="3">
        <v>7000</v>
      </c>
      <c r="G114" s="3">
        <v>2000</v>
      </c>
      <c r="H114" s="6">
        <v>22</v>
      </c>
      <c r="I114" s="4">
        <f t="shared" si="4"/>
        <v>0.77777777777777779</v>
      </c>
      <c r="J114" s="4">
        <f t="shared" si="5"/>
        <v>0.22222222222222221</v>
      </c>
    </row>
    <row r="115" spans="1:10" x14ac:dyDescent="0.2">
      <c r="A115">
        <v>2012</v>
      </c>
      <c r="B115">
        <v>112</v>
      </c>
      <c r="C115" t="s">
        <v>387</v>
      </c>
      <c r="D115" t="s">
        <v>161</v>
      </c>
      <c r="E115" s="3">
        <v>9000</v>
      </c>
      <c r="F115" s="3">
        <v>5000</v>
      </c>
      <c r="G115" s="3">
        <v>4000</v>
      </c>
      <c r="H115" s="6">
        <v>22</v>
      </c>
      <c r="I115" s="4">
        <f t="shared" si="4"/>
        <v>0.55555555555555558</v>
      </c>
      <c r="J115" s="4">
        <f t="shared" si="5"/>
        <v>0.44444444444444442</v>
      </c>
    </row>
    <row r="116" spans="1:10" x14ac:dyDescent="0.2">
      <c r="A116">
        <v>2012</v>
      </c>
      <c r="B116">
        <v>112</v>
      </c>
      <c r="C116" t="s">
        <v>387</v>
      </c>
      <c r="D116" t="s">
        <v>149</v>
      </c>
      <c r="E116" s="3">
        <v>8500</v>
      </c>
      <c r="F116" s="3">
        <v>7500</v>
      </c>
      <c r="G116" s="3">
        <v>1000</v>
      </c>
      <c r="H116" s="6">
        <v>24</v>
      </c>
      <c r="I116" s="4">
        <f t="shared" si="4"/>
        <v>0.88235294117647056</v>
      </c>
      <c r="J116" s="4">
        <f t="shared" si="5"/>
        <v>0.11764705882352941</v>
      </c>
    </row>
    <row r="117" spans="1:10" x14ac:dyDescent="0.2">
      <c r="A117">
        <v>2012</v>
      </c>
      <c r="B117">
        <v>112</v>
      </c>
      <c r="C117" t="s">
        <v>387</v>
      </c>
      <c r="D117" t="s">
        <v>402</v>
      </c>
      <c r="E117" s="3">
        <v>8500</v>
      </c>
      <c r="F117" s="3">
        <v>6500</v>
      </c>
      <c r="G117" s="3">
        <v>2000</v>
      </c>
      <c r="H117" s="6">
        <v>24</v>
      </c>
      <c r="I117" s="4">
        <f t="shared" si="4"/>
        <v>0.76470588235294112</v>
      </c>
      <c r="J117" s="4">
        <f t="shared" si="5"/>
        <v>0.23529411764705882</v>
      </c>
    </row>
    <row r="118" spans="1:10" x14ac:dyDescent="0.2">
      <c r="A118">
        <v>2012</v>
      </c>
      <c r="B118">
        <v>112</v>
      </c>
      <c r="C118" t="s">
        <v>387</v>
      </c>
      <c r="D118" t="s">
        <v>404</v>
      </c>
      <c r="E118" s="3">
        <v>7900</v>
      </c>
      <c r="F118" s="3">
        <v>5400</v>
      </c>
      <c r="G118" s="3">
        <v>2500</v>
      </c>
      <c r="H118" s="6">
        <v>26</v>
      </c>
      <c r="I118" s="4">
        <f t="shared" si="4"/>
        <v>0.68354430379746833</v>
      </c>
      <c r="J118" s="4">
        <f t="shared" si="5"/>
        <v>0.31645569620253167</v>
      </c>
    </row>
    <row r="119" spans="1:10" x14ac:dyDescent="0.2">
      <c r="A119">
        <v>2012</v>
      </c>
      <c r="B119">
        <v>112</v>
      </c>
      <c r="C119" t="s">
        <v>387</v>
      </c>
      <c r="D119" t="s">
        <v>194</v>
      </c>
      <c r="E119" s="3">
        <v>7700</v>
      </c>
      <c r="F119" s="3">
        <v>6700</v>
      </c>
      <c r="G119" s="3">
        <v>1000</v>
      </c>
      <c r="H119" s="6">
        <v>27</v>
      </c>
      <c r="I119" s="4">
        <f t="shared" si="4"/>
        <v>0.87012987012987009</v>
      </c>
      <c r="J119" s="4">
        <f t="shared" si="5"/>
        <v>0.12987012987012986</v>
      </c>
    </row>
    <row r="120" spans="1:10" x14ac:dyDescent="0.2">
      <c r="A120">
        <v>2012</v>
      </c>
      <c r="B120">
        <v>112</v>
      </c>
      <c r="C120" t="s">
        <v>387</v>
      </c>
      <c r="D120" t="s">
        <v>230</v>
      </c>
      <c r="E120" s="3">
        <v>7000</v>
      </c>
      <c r="F120" s="3">
        <v>4000</v>
      </c>
      <c r="G120" s="3">
        <v>3000</v>
      </c>
      <c r="H120" s="6">
        <v>28</v>
      </c>
      <c r="I120" s="4">
        <f t="shared" si="4"/>
        <v>0.5714285714285714</v>
      </c>
      <c r="J120" s="4">
        <f t="shared" si="5"/>
        <v>0.42857142857142855</v>
      </c>
    </row>
    <row r="121" spans="1:10" x14ac:dyDescent="0.2">
      <c r="A121">
        <v>2012</v>
      </c>
      <c r="B121">
        <v>112</v>
      </c>
      <c r="C121" t="s">
        <v>387</v>
      </c>
      <c r="D121" t="s">
        <v>413</v>
      </c>
      <c r="E121" s="3">
        <v>6500</v>
      </c>
      <c r="F121" s="3">
        <v>1500</v>
      </c>
      <c r="G121" s="3">
        <v>5000</v>
      </c>
      <c r="H121" s="6">
        <v>29</v>
      </c>
      <c r="I121" s="4">
        <f t="shared" si="4"/>
        <v>0.23076923076923078</v>
      </c>
      <c r="J121" s="4">
        <f t="shared" si="5"/>
        <v>0.76923076923076927</v>
      </c>
    </row>
    <row r="122" spans="1:10" x14ac:dyDescent="0.2">
      <c r="A122">
        <v>2012</v>
      </c>
      <c r="B122">
        <v>112</v>
      </c>
      <c r="C122" t="s">
        <v>387</v>
      </c>
      <c r="D122" t="s">
        <v>409</v>
      </c>
      <c r="E122" s="3">
        <v>6000</v>
      </c>
      <c r="F122" s="3">
        <v>0</v>
      </c>
      <c r="G122" s="3">
        <v>6000</v>
      </c>
      <c r="H122" s="6">
        <v>30</v>
      </c>
      <c r="I122" s="4">
        <f t="shared" si="4"/>
        <v>0</v>
      </c>
      <c r="J122" s="4">
        <f t="shared" si="5"/>
        <v>1</v>
      </c>
    </row>
    <row r="127" spans="1:10" x14ac:dyDescent="0.2">
      <c r="E127" s="8"/>
    </row>
  </sheetData>
  <phoneticPr fontId="4" type="noConversion"/>
  <pageMargins left="0.7" right="0.7" top="0.75" bottom="0.75" header="0.3" footer="0.3"/>
  <pageSetup paperSize="5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90"/>
  <sheetViews>
    <sheetView topLeftCell="A6" zoomScale="85" zoomScaleNormal="85" workbookViewId="0">
      <selection activeCell="D25" sqref="D25"/>
    </sheetView>
  </sheetViews>
  <sheetFormatPr defaultRowHeight="12.75" x14ac:dyDescent="0.2"/>
  <cols>
    <col min="1" max="1" width="6.85546875" bestFit="1" customWidth="1"/>
    <col min="2" max="2" width="13.28515625" bestFit="1" customWidth="1"/>
    <col min="3" max="3" width="25.28515625" bestFit="1" customWidth="1"/>
    <col min="4" max="4" width="36.140625" bestFit="1" customWidth="1"/>
    <col min="5" max="6" width="8.42578125" bestFit="1" customWidth="1"/>
    <col min="7" max="7" width="9" bestFit="1" customWidth="1"/>
    <col min="8" max="8" width="6.42578125" style="6" bestFit="1" customWidth="1"/>
    <col min="9" max="9" width="7.7109375" bestFit="1" customWidth="1"/>
    <col min="10" max="10" width="9.7109375" bestFit="1" customWidth="1"/>
  </cols>
  <sheetData>
    <row r="1" spans="1:10" s="1" customFormat="1" x14ac:dyDescent="0.2">
      <c r="A1" s="1" t="s">
        <v>384</v>
      </c>
      <c r="B1" s="1" t="s">
        <v>385</v>
      </c>
      <c r="C1" s="1" t="s">
        <v>388</v>
      </c>
      <c r="D1" s="1" t="s">
        <v>397</v>
      </c>
      <c r="E1" s="1" t="s">
        <v>390</v>
      </c>
      <c r="F1" s="1" t="s">
        <v>393</v>
      </c>
      <c r="G1" s="1" t="s">
        <v>394</v>
      </c>
      <c r="H1" s="5" t="s">
        <v>398</v>
      </c>
      <c r="I1" s="1" t="s">
        <v>395</v>
      </c>
      <c r="J1" s="1" t="s">
        <v>396</v>
      </c>
    </row>
    <row r="2" spans="1:10" x14ac:dyDescent="0.2">
      <c r="A2">
        <v>2010</v>
      </c>
      <c r="B2">
        <v>111</v>
      </c>
      <c r="C2" t="s">
        <v>386</v>
      </c>
      <c r="D2" t="s">
        <v>210</v>
      </c>
      <c r="E2" s="8">
        <v>83750</v>
      </c>
      <c r="F2" s="8">
        <v>48750</v>
      </c>
      <c r="G2" s="8">
        <v>35000</v>
      </c>
      <c r="H2" s="6">
        <v>1</v>
      </c>
      <c r="I2" s="4">
        <f>F2/E2</f>
        <v>0.58208955223880599</v>
      </c>
      <c r="J2" s="4">
        <f>G2/E2</f>
        <v>0.41791044776119401</v>
      </c>
    </row>
    <row r="3" spans="1:10" x14ac:dyDescent="0.2">
      <c r="A3">
        <v>2010</v>
      </c>
      <c r="B3">
        <v>111</v>
      </c>
      <c r="C3" t="s">
        <v>386</v>
      </c>
      <c r="D3" t="s">
        <v>597</v>
      </c>
      <c r="E3" s="8">
        <v>72400</v>
      </c>
      <c r="F3" s="8">
        <v>47400</v>
      </c>
      <c r="G3" s="8">
        <v>25000</v>
      </c>
      <c r="H3" s="6">
        <v>2</v>
      </c>
      <c r="I3" s="4">
        <f t="shared" ref="I3:I66" si="0">F3/E3</f>
        <v>0.65469613259668513</v>
      </c>
      <c r="J3" s="4">
        <f t="shared" ref="J3:J66" si="1">G3/E3</f>
        <v>0.34530386740331492</v>
      </c>
    </row>
    <row r="4" spans="1:10" x14ac:dyDescent="0.2">
      <c r="A4">
        <v>2010</v>
      </c>
      <c r="B4">
        <v>111</v>
      </c>
      <c r="C4" t="s">
        <v>386</v>
      </c>
      <c r="D4" t="s">
        <v>562</v>
      </c>
      <c r="E4" s="8">
        <v>62050</v>
      </c>
      <c r="F4" s="8">
        <v>25500</v>
      </c>
      <c r="G4" s="8">
        <v>36550</v>
      </c>
      <c r="H4" s="6">
        <v>3</v>
      </c>
      <c r="I4" s="4">
        <f t="shared" si="0"/>
        <v>0.41095890410958902</v>
      </c>
      <c r="J4" s="4">
        <f t="shared" si="1"/>
        <v>0.58904109589041098</v>
      </c>
    </row>
    <row r="5" spans="1:10" x14ac:dyDescent="0.2">
      <c r="A5">
        <v>2010</v>
      </c>
      <c r="B5">
        <v>111</v>
      </c>
      <c r="C5" t="s">
        <v>386</v>
      </c>
      <c r="D5" t="s">
        <v>556</v>
      </c>
      <c r="E5" s="8">
        <v>44500</v>
      </c>
      <c r="F5" s="8">
        <v>21500</v>
      </c>
      <c r="G5" s="8">
        <v>23000</v>
      </c>
      <c r="H5" s="6">
        <v>4</v>
      </c>
      <c r="I5" s="4">
        <f t="shared" si="0"/>
        <v>0.48314606741573035</v>
      </c>
      <c r="J5" s="4">
        <f t="shared" si="1"/>
        <v>0.5168539325842697</v>
      </c>
    </row>
    <row r="6" spans="1:10" x14ac:dyDescent="0.2">
      <c r="A6">
        <v>2010</v>
      </c>
      <c r="B6">
        <v>111</v>
      </c>
      <c r="C6" t="s">
        <v>386</v>
      </c>
      <c r="D6" t="s">
        <v>623</v>
      </c>
      <c r="E6" s="8">
        <v>29000</v>
      </c>
      <c r="F6" s="8">
        <v>10000</v>
      </c>
      <c r="G6" s="8">
        <v>19000</v>
      </c>
      <c r="H6" s="6">
        <v>5</v>
      </c>
      <c r="I6" s="4">
        <f t="shared" si="0"/>
        <v>0.34482758620689657</v>
      </c>
      <c r="J6" s="4">
        <f t="shared" si="1"/>
        <v>0.65517241379310343</v>
      </c>
    </row>
    <row r="7" spans="1:10" x14ac:dyDescent="0.2">
      <c r="A7">
        <v>2010</v>
      </c>
      <c r="B7">
        <v>111</v>
      </c>
      <c r="C7" t="s">
        <v>386</v>
      </c>
      <c r="D7" t="s">
        <v>681</v>
      </c>
      <c r="E7" s="8">
        <v>29000</v>
      </c>
      <c r="F7" s="8">
        <v>15000</v>
      </c>
      <c r="G7" s="8">
        <v>14000</v>
      </c>
      <c r="H7" s="6">
        <v>5</v>
      </c>
      <c r="I7" s="4">
        <f t="shared" si="0"/>
        <v>0.51724137931034486</v>
      </c>
      <c r="J7" s="4">
        <f t="shared" si="1"/>
        <v>0.48275862068965519</v>
      </c>
    </row>
    <row r="8" spans="1:10" x14ac:dyDescent="0.2">
      <c r="A8">
        <v>2010</v>
      </c>
      <c r="B8">
        <v>111</v>
      </c>
      <c r="C8" t="s">
        <v>386</v>
      </c>
      <c r="D8" t="s">
        <v>599</v>
      </c>
      <c r="E8" s="8">
        <v>28500</v>
      </c>
      <c r="F8" s="8">
        <v>23500</v>
      </c>
      <c r="G8" s="8">
        <v>5000</v>
      </c>
      <c r="H8" s="6">
        <v>7</v>
      </c>
      <c r="I8" s="4">
        <f t="shared" si="0"/>
        <v>0.82456140350877194</v>
      </c>
      <c r="J8" s="4">
        <f t="shared" si="1"/>
        <v>0.17543859649122806</v>
      </c>
    </row>
    <row r="9" spans="1:10" x14ac:dyDescent="0.2">
      <c r="A9">
        <v>2010</v>
      </c>
      <c r="B9">
        <v>111</v>
      </c>
      <c r="C9" t="s">
        <v>386</v>
      </c>
      <c r="D9" t="s">
        <v>682</v>
      </c>
      <c r="E9" s="8">
        <v>15600</v>
      </c>
      <c r="F9" s="8">
        <v>15600</v>
      </c>
      <c r="G9" s="8">
        <v>0</v>
      </c>
      <c r="H9" s="6">
        <v>8</v>
      </c>
      <c r="I9" s="4">
        <f t="shared" si="0"/>
        <v>1</v>
      </c>
      <c r="J9" s="4">
        <f t="shared" si="1"/>
        <v>0</v>
      </c>
    </row>
    <row r="10" spans="1:10" x14ac:dyDescent="0.2">
      <c r="A10">
        <v>2010</v>
      </c>
      <c r="B10">
        <v>111</v>
      </c>
      <c r="C10" t="s">
        <v>386</v>
      </c>
      <c r="D10" t="s">
        <v>683</v>
      </c>
      <c r="E10" s="8">
        <v>13250</v>
      </c>
      <c r="F10" s="8">
        <v>12750</v>
      </c>
      <c r="G10" s="8">
        <v>500</v>
      </c>
      <c r="H10" s="6">
        <v>9</v>
      </c>
      <c r="I10" s="4">
        <f t="shared" si="0"/>
        <v>0.96226415094339623</v>
      </c>
      <c r="J10" s="4">
        <f t="shared" si="1"/>
        <v>3.7735849056603772E-2</v>
      </c>
    </row>
    <row r="11" spans="1:10" x14ac:dyDescent="0.2">
      <c r="A11">
        <v>2010</v>
      </c>
      <c r="B11">
        <v>111</v>
      </c>
      <c r="C11" t="s">
        <v>386</v>
      </c>
      <c r="D11" t="s">
        <v>653</v>
      </c>
      <c r="E11" s="8">
        <v>8500</v>
      </c>
      <c r="F11" s="8">
        <v>5500</v>
      </c>
      <c r="G11" s="8">
        <v>3000</v>
      </c>
      <c r="H11" s="6">
        <v>10</v>
      </c>
      <c r="I11" s="4">
        <f t="shared" si="0"/>
        <v>0.6470588235294118</v>
      </c>
      <c r="J11" s="4">
        <f t="shared" si="1"/>
        <v>0.35294117647058826</v>
      </c>
    </row>
    <row r="12" spans="1:10" x14ac:dyDescent="0.2">
      <c r="A12">
        <v>2010</v>
      </c>
      <c r="B12">
        <v>111</v>
      </c>
      <c r="C12" t="s">
        <v>386</v>
      </c>
      <c r="D12" t="s">
        <v>684</v>
      </c>
      <c r="E12" s="8">
        <v>4800</v>
      </c>
      <c r="F12" s="8">
        <v>0</v>
      </c>
      <c r="G12" s="8">
        <v>4800</v>
      </c>
      <c r="H12" s="6">
        <v>11</v>
      </c>
      <c r="I12" s="4">
        <f t="shared" si="0"/>
        <v>0</v>
      </c>
      <c r="J12" s="4">
        <f t="shared" si="1"/>
        <v>1</v>
      </c>
    </row>
    <row r="13" spans="1:10" x14ac:dyDescent="0.2">
      <c r="A13">
        <v>2010</v>
      </c>
      <c r="B13">
        <v>111</v>
      </c>
      <c r="C13" t="s">
        <v>386</v>
      </c>
      <c r="D13" t="s">
        <v>581</v>
      </c>
      <c r="E13" s="8">
        <v>4800</v>
      </c>
      <c r="F13" s="8">
        <v>0</v>
      </c>
      <c r="G13" s="8">
        <v>4800</v>
      </c>
      <c r="H13" s="6">
        <v>11</v>
      </c>
      <c r="I13" s="4">
        <f t="shared" si="0"/>
        <v>0</v>
      </c>
      <c r="J13" s="4">
        <f t="shared" si="1"/>
        <v>1</v>
      </c>
    </row>
    <row r="14" spans="1:10" x14ac:dyDescent="0.2">
      <c r="A14">
        <v>2010</v>
      </c>
      <c r="B14">
        <v>111</v>
      </c>
      <c r="C14" t="s">
        <v>386</v>
      </c>
      <c r="D14" t="s">
        <v>685</v>
      </c>
      <c r="E14" s="8">
        <v>4800</v>
      </c>
      <c r="F14" s="8">
        <v>4800</v>
      </c>
      <c r="G14" s="8">
        <v>0</v>
      </c>
      <c r="H14" s="6">
        <v>11</v>
      </c>
      <c r="I14" s="4">
        <f t="shared" si="0"/>
        <v>1</v>
      </c>
      <c r="J14" s="4">
        <f t="shared" si="1"/>
        <v>0</v>
      </c>
    </row>
    <row r="15" spans="1:10" x14ac:dyDescent="0.2">
      <c r="A15">
        <v>2010</v>
      </c>
      <c r="B15">
        <v>111</v>
      </c>
      <c r="C15" t="s">
        <v>386</v>
      </c>
      <c r="D15" t="s">
        <v>582</v>
      </c>
      <c r="E15" s="8">
        <v>3000</v>
      </c>
      <c r="F15" s="8">
        <v>1000</v>
      </c>
      <c r="G15" s="8">
        <v>2000</v>
      </c>
      <c r="H15" s="6">
        <v>14</v>
      </c>
      <c r="I15" s="4">
        <f t="shared" si="0"/>
        <v>0.33333333333333331</v>
      </c>
      <c r="J15" s="4">
        <f t="shared" si="1"/>
        <v>0.66666666666666663</v>
      </c>
    </row>
    <row r="16" spans="1:10" x14ac:dyDescent="0.2">
      <c r="A16">
        <v>2010</v>
      </c>
      <c r="B16">
        <v>111</v>
      </c>
      <c r="C16" t="s">
        <v>386</v>
      </c>
      <c r="D16" t="s">
        <v>686</v>
      </c>
      <c r="E16" s="8">
        <v>2000</v>
      </c>
      <c r="F16" s="8">
        <v>2000</v>
      </c>
      <c r="G16" s="8">
        <v>0</v>
      </c>
      <c r="H16" s="6">
        <v>15</v>
      </c>
      <c r="I16" s="4">
        <f t="shared" si="0"/>
        <v>1</v>
      </c>
      <c r="J16" s="4">
        <f t="shared" si="1"/>
        <v>0</v>
      </c>
    </row>
    <row r="17" spans="1:10" x14ac:dyDescent="0.2">
      <c r="A17">
        <v>2010</v>
      </c>
      <c r="B17">
        <v>111</v>
      </c>
      <c r="C17" t="s">
        <v>386</v>
      </c>
      <c r="D17" t="s">
        <v>618</v>
      </c>
      <c r="E17" s="8">
        <v>2000</v>
      </c>
      <c r="F17" s="8">
        <v>2000</v>
      </c>
      <c r="G17" s="8">
        <v>0</v>
      </c>
      <c r="H17" s="6">
        <v>15</v>
      </c>
      <c r="I17" s="4">
        <f t="shared" si="0"/>
        <v>1</v>
      </c>
      <c r="J17" s="4">
        <f t="shared" si="1"/>
        <v>0</v>
      </c>
    </row>
    <row r="18" spans="1:10" x14ac:dyDescent="0.2">
      <c r="A18">
        <v>2010</v>
      </c>
      <c r="B18">
        <v>111</v>
      </c>
      <c r="C18" t="s">
        <v>386</v>
      </c>
      <c r="D18" t="s">
        <v>687</v>
      </c>
      <c r="E18" s="8">
        <v>1500</v>
      </c>
      <c r="F18" s="8">
        <v>0</v>
      </c>
      <c r="G18" s="8">
        <v>1500</v>
      </c>
      <c r="H18" s="6">
        <v>17</v>
      </c>
      <c r="I18" s="4">
        <f t="shared" si="0"/>
        <v>0</v>
      </c>
      <c r="J18" s="4">
        <f t="shared" si="1"/>
        <v>1</v>
      </c>
    </row>
    <row r="19" spans="1:10" x14ac:dyDescent="0.2">
      <c r="A19">
        <v>2010</v>
      </c>
      <c r="B19">
        <v>111</v>
      </c>
      <c r="C19" t="s">
        <v>386</v>
      </c>
      <c r="D19" t="s">
        <v>678</v>
      </c>
      <c r="E19" s="8">
        <v>1000</v>
      </c>
      <c r="F19" s="8">
        <v>1000</v>
      </c>
      <c r="G19" s="8">
        <v>0</v>
      </c>
      <c r="H19" s="6">
        <v>18</v>
      </c>
      <c r="I19" s="4">
        <f t="shared" si="0"/>
        <v>1</v>
      </c>
      <c r="J19" s="4">
        <f t="shared" si="1"/>
        <v>0</v>
      </c>
    </row>
    <row r="20" spans="1:10" x14ac:dyDescent="0.2">
      <c r="A20">
        <v>2010</v>
      </c>
      <c r="B20">
        <v>111</v>
      </c>
      <c r="C20" t="s">
        <v>386</v>
      </c>
      <c r="D20" t="s">
        <v>688</v>
      </c>
      <c r="E20" s="8">
        <v>750</v>
      </c>
      <c r="F20" s="8">
        <v>750</v>
      </c>
      <c r="G20" s="8">
        <v>0</v>
      </c>
      <c r="H20" s="6">
        <v>19</v>
      </c>
      <c r="I20" s="4">
        <f t="shared" si="0"/>
        <v>1</v>
      </c>
      <c r="J20" s="4">
        <f t="shared" si="1"/>
        <v>0</v>
      </c>
    </row>
    <row r="21" spans="1:10" x14ac:dyDescent="0.2">
      <c r="A21">
        <v>2010</v>
      </c>
      <c r="B21">
        <v>111</v>
      </c>
      <c r="C21" t="s">
        <v>386</v>
      </c>
      <c r="D21" t="s">
        <v>689</v>
      </c>
      <c r="E21" s="8">
        <v>750</v>
      </c>
      <c r="F21" s="8">
        <v>250</v>
      </c>
      <c r="G21" s="8">
        <v>500</v>
      </c>
      <c r="H21" s="6">
        <v>19</v>
      </c>
      <c r="I21" s="4">
        <f t="shared" si="0"/>
        <v>0.33333333333333331</v>
      </c>
      <c r="J21" s="4">
        <f t="shared" si="1"/>
        <v>0.66666666666666663</v>
      </c>
    </row>
    <row r="22" spans="1:10" x14ac:dyDescent="0.2">
      <c r="A22">
        <v>2010</v>
      </c>
      <c r="B22">
        <v>111</v>
      </c>
      <c r="C22" t="s">
        <v>386</v>
      </c>
      <c r="D22" t="s">
        <v>621</v>
      </c>
      <c r="E22" s="8">
        <v>750</v>
      </c>
      <c r="F22" s="8">
        <v>750</v>
      </c>
      <c r="G22" s="8">
        <v>0</v>
      </c>
      <c r="H22" s="6">
        <v>19</v>
      </c>
      <c r="I22" s="4">
        <f t="shared" si="0"/>
        <v>1</v>
      </c>
      <c r="J22" s="4">
        <f t="shared" si="1"/>
        <v>0</v>
      </c>
    </row>
    <row r="23" spans="1:10" x14ac:dyDescent="0.2">
      <c r="A23">
        <v>2010</v>
      </c>
      <c r="B23">
        <v>111</v>
      </c>
      <c r="C23" t="s">
        <v>386</v>
      </c>
      <c r="D23" t="s">
        <v>540</v>
      </c>
      <c r="E23" s="8">
        <v>500</v>
      </c>
      <c r="F23" s="8">
        <v>500</v>
      </c>
      <c r="G23" s="8">
        <v>0</v>
      </c>
      <c r="H23" s="6">
        <v>22</v>
      </c>
      <c r="I23" s="4">
        <f t="shared" si="0"/>
        <v>1</v>
      </c>
      <c r="J23" s="4">
        <f t="shared" si="1"/>
        <v>0</v>
      </c>
    </row>
    <row r="24" spans="1:10" x14ac:dyDescent="0.2">
      <c r="A24">
        <v>2010</v>
      </c>
      <c r="B24">
        <v>111</v>
      </c>
      <c r="C24" t="s">
        <v>386</v>
      </c>
      <c r="D24" t="s">
        <v>633</v>
      </c>
      <c r="E24" s="8">
        <v>500</v>
      </c>
      <c r="F24" s="8">
        <v>500</v>
      </c>
      <c r="G24" s="8">
        <v>0</v>
      </c>
      <c r="H24" s="6">
        <v>22</v>
      </c>
      <c r="I24" s="4">
        <f t="shared" si="0"/>
        <v>1</v>
      </c>
      <c r="J24" s="4">
        <f t="shared" si="1"/>
        <v>0</v>
      </c>
    </row>
    <row r="25" spans="1:10" x14ac:dyDescent="0.2">
      <c r="A25">
        <v>2010</v>
      </c>
      <c r="B25">
        <v>111</v>
      </c>
      <c r="C25" t="s">
        <v>386</v>
      </c>
      <c r="D25" t="s">
        <v>8</v>
      </c>
      <c r="E25" s="8">
        <v>450</v>
      </c>
      <c r="F25" s="8">
        <v>450</v>
      </c>
      <c r="G25" s="8">
        <v>0</v>
      </c>
      <c r="H25" s="6">
        <v>24</v>
      </c>
      <c r="I25" s="4">
        <f t="shared" si="0"/>
        <v>1</v>
      </c>
      <c r="J25" s="4">
        <f t="shared" si="1"/>
        <v>0</v>
      </c>
    </row>
    <row r="26" spans="1:10" x14ac:dyDescent="0.2">
      <c r="A26">
        <v>2010</v>
      </c>
      <c r="B26">
        <v>111</v>
      </c>
      <c r="C26" t="s">
        <v>386</v>
      </c>
      <c r="D26" t="s">
        <v>592</v>
      </c>
      <c r="E26" s="8">
        <v>200</v>
      </c>
      <c r="F26" s="8">
        <v>200</v>
      </c>
      <c r="G26" s="8">
        <v>0</v>
      </c>
      <c r="H26" s="6">
        <v>25</v>
      </c>
      <c r="I26" s="4">
        <f t="shared" si="0"/>
        <v>1</v>
      </c>
      <c r="J26" s="4">
        <f t="shared" si="1"/>
        <v>0</v>
      </c>
    </row>
    <row r="27" spans="1:10" x14ac:dyDescent="0.2">
      <c r="A27">
        <v>2010</v>
      </c>
      <c r="B27">
        <v>111</v>
      </c>
      <c r="C27" t="s">
        <v>386</v>
      </c>
      <c r="D27" t="s">
        <v>690</v>
      </c>
      <c r="E27" s="8">
        <v>-2250</v>
      </c>
      <c r="F27" s="8">
        <v>-2250</v>
      </c>
      <c r="G27" s="8">
        <v>0</v>
      </c>
      <c r="H27" s="6">
        <v>26</v>
      </c>
      <c r="I27" s="4">
        <f t="shared" si="0"/>
        <v>1</v>
      </c>
      <c r="J27" s="4">
        <f t="shared" si="1"/>
        <v>0</v>
      </c>
    </row>
    <row r="28" spans="1:10" x14ac:dyDescent="0.2">
      <c r="A28">
        <v>2010</v>
      </c>
      <c r="B28">
        <v>111</v>
      </c>
      <c r="C28" t="s">
        <v>387</v>
      </c>
      <c r="D28" t="s">
        <v>562</v>
      </c>
      <c r="E28" s="8">
        <v>43500</v>
      </c>
      <c r="F28" s="8">
        <v>22500</v>
      </c>
      <c r="G28" s="8">
        <v>19500</v>
      </c>
      <c r="H28" s="6">
        <v>1</v>
      </c>
      <c r="I28" s="4">
        <f t="shared" si="0"/>
        <v>0.51724137931034486</v>
      </c>
      <c r="J28" s="4">
        <f t="shared" si="1"/>
        <v>0.44827586206896552</v>
      </c>
    </row>
    <row r="29" spans="1:10" x14ac:dyDescent="0.2">
      <c r="A29">
        <v>2010</v>
      </c>
      <c r="B29">
        <v>111</v>
      </c>
      <c r="C29" t="s">
        <v>387</v>
      </c>
      <c r="D29" t="s">
        <v>597</v>
      </c>
      <c r="E29" s="8">
        <v>31250</v>
      </c>
      <c r="F29" s="8">
        <v>13500</v>
      </c>
      <c r="G29" s="8">
        <v>15750</v>
      </c>
      <c r="H29" s="6">
        <v>2</v>
      </c>
      <c r="I29" s="4">
        <f t="shared" si="0"/>
        <v>0.432</v>
      </c>
      <c r="J29" s="4">
        <f t="shared" si="1"/>
        <v>0.504</v>
      </c>
    </row>
    <row r="30" spans="1:10" x14ac:dyDescent="0.2">
      <c r="A30">
        <v>2010</v>
      </c>
      <c r="B30">
        <v>111</v>
      </c>
      <c r="C30" t="s">
        <v>387</v>
      </c>
      <c r="D30" t="s">
        <v>623</v>
      </c>
      <c r="E30" s="8">
        <v>26250</v>
      </c>
      <c r="F30" s="8">
        <v>6500</v>
      </c>
      <c r="G30" s="8">
        <v>19750</v>
      </c>
      <c r="H30" s="6">
        <v>3</v>
      </c>
      <c r="I30" s="4">
        <f t="shared" si="0"/>
        <v>0.24761904761904763</v>
      </c>
      <c r="J30" s="4">
        <f t="shared" si="1"/>
        <v>0.75238095238095237</v>
      </c>
    </row>
    <row r="31" spans="1:10" x14ac:dyDescent="0.2">
      <c r="A31">
        <v>2010</v>
      </c>
      <c r="B31">
        <v>111</v>
      </c>
      <c r="C31" t="s">
        <v>387</v>
      </c>
      <c r="D31" t="s">
        <v>616</v>
      </c>
      <c r="E31" s="8">
        <v>25250</v>
      </c>
      <c r="F31" s="8">
        <v>20250</v>
      </c>
      <c r="G31" s="8">
        <v>5000</v>
      </c>
      <c r="H31" s="6">
        <v>4</v>
      </c>
      <c r="I31" s="4">
        <f t="shared" si="0"/>
        <v>0.80198019801980203</v>
      </c>
      <c r="J31" s="4">
        <f t="shared" si="1"/>
        <v>0.19801980198019803</v>
      </c>
    </row>
    <row r="32" spans="1:10" x14ac:dyDescent="0.2">
      <c r="A32">
        <v>2010</v>
      </c>
      <c r="B32">
        <v>111</v>
      </c>
      <c r="C32" t="s">
        <v>387</v>
      </c>
      <c r="D32" t="s">
        <v>210</v>
      </c>
      <c r="E32" s="8">
        <v>24500</v>
      </c>
      <c r="F32" s="8">
        <v>7000</v>
      </c>
      <c r="G32" s="8">
        <v>15500</v>
      </c>
      <c r="H32" s="6">
        <v>5</v>
      </c>
      <c r="I32" s="4">
        <f t="shared" si="0"/>
        <v>0.2857142857142857</v>
      </c>
      <c r="J32" s="4">
        <f t="shared" si="1"/>
        <v>0.63265306122448983</v>
      </c>
    </row>
    <row r="33" spans="1:10" x14ac:dyDescent="0.2">
      <c r="A33">
        <v>2010</v>
      </c>
      <c r="B33">
        <v>111</v>
      </c>
      <c r="C33" t="s">
        <v>387</v>
      </c>
      <c r="D33" t="s">
        <v>556</v>
      </c>
      <c r="E33" s="8">
        <v>19500</v>
      </c>
      <c r="F33" s="8">
        <v>13500</v>
      </c>
      <c r="G33" s="8">
        <v>4000</v>
      </c>
      <c r="H33" s="6">
        <v>6</v>
      </c>
      <c r="I33" s="4">
        <f t="shared" si="0"/>
        <v>0.69230769230769229</v>
      </c>
      <c r="J33" s="4">
        <f t="shared" si="1"/>
        <v>0.20512820512820512</v>
      </c>
    </row>
    <row r="34" spans="1:10" x14ac:dyDescent="0.2">
      <c r="A34">
        <v>2010</v>
      </c>
      <c r="B34">
        <v>111</v>
      </c>
      <c r="C34" t="s">
        <v>387</v>
      </c>
      <c r="D34" t="s">
        <v>653</v>
      </c>
      <c r="E34" s="8">
        <v>16500</v>
      </c>
      <c r="F34" s="8">
        <v>5000</v>
      </c>
      <c r="G34" s="8">
        <v>11500</v>
      </c>
      <c r="H34" s="6">
        <v>7</v>
      </c>
      <c r="I34" s="4">
        <f t="shared" si="0"/>
        <v>0.30303030303030304</v>
      </c>
      <c r="J34" s="4">
        <f t="shared" si="1"/>
        <v>0.69696969696969702</v>
      </c>
    </row>
    <row r="35" spans="1:10" x14ac:dyDescent="0.2">
      <c r="A35">
        <v>2010</v>
      </c>
      <c r="B35">
        <v>111</v>
      </c>
      <c r="C35" t="s">
        <v>387</v>
      </c>
      <c r="D35" t="s">
        <v>691</v>
      </c>
      <c r="E35" s="8">
        <v>9600</v>
      </c>
      <c r="F35" s="8">
        <v>0</v>
      </c>
      <c r="G35" s="8">
        <v>9600</v>
      </c>
      <c r="H35" s="6">
        <v>8</v>
      </c>
      <c r="I35" s="4">
        <f t="shared" si="0"/>
        <v>0</v>
      </c>
      <c r="J35" s="4">
        <f t="shared" si="1"/>
        <v>1</v>
      </c>
    </row>
    <row r="36" spans="1:10" x14ac:dyDescent="0.2">
      <c r="A36">
        <v>2010</v>
      </c>
      <c r="B36">
        <v>111</v>
      </c>
      <c r="C36" t="s">
        <v>387</v>
      </c>
      <c r="D36" t="s">
        <v>591</v>
      </c>
      <c r="E36" s="8">
        <v>9000</v>
      </c>
      <c r="F36" s="8">
        <v>9000</v>
      </c>
      <c r="G36" s="8">
        <v>0</v>
      </c>
      <c r="H36" s="6">
        <v>9</v>
      </c>
      <c r="I36" s="4">
        <f t="shared" si="0"/>
        <v>1</v>
      </c>
      <c r="J36" s="4">
        <f t="shared" si="1"/>
        <v>0</v>
      </c>
    </row>
    <row r="37" spans="1:10" x14ac:dyDescent="0.2">
      <c r="A37">
        <v>2010</v>
      </c>
      <c r="B37">
        <v>111</v>
      </c>
      <c r="C37" t="s">
        <v>387</v>
      </c>
      <c r="D37" t="s">
        <v>637</v>
      </c>
      <c r="E37" s="8">
        <v>8500</v>
      </c>
      <c r="F37" s="8">
        <v>6000</v>
      </c>
      <c r="G37" s="8">
        <v>2500</v>
      </c>
      <c r="H37" s="6">
        <v>10</v>
      </c>
      <c r="I37" s="4">
        <f t="shared" si="0"/>
        <v>0.70588235294117652</v>
      </c>
      <c r="J37" s="4">
        <f t="shared" si="1"/>
        <v>0.29411764705882354</v>
      </c>
    </row>
    <row r="38" spans="1:10" x14ac:dyDescent="0.2">
      <c r="A38">
        <v>2010</v>
      </c>
      <c r="B38">
        <v>111</v>
      </c>
      <c r="C38" t="s">
        <v>387</v>
      </c>
      <c r="D38" t="s">
        <v>692</v>
      </c>
      <c r="E38" s="8">
        <v>5000</v>
      </c>
      <c r="F38" s="8">
        <v>0</v>
      </c>
      <c r="G38" s="8">
        <v>5000</v>
      </c>
      <c r="H38" s="6">
        <v>11</v>
      </c>
      <c r="I38" s="4">
        <f t="shared" si="0"/>
        <v>0</v>
      </c>
      <c r="J38" s="4">
        <f t="shared" si="1"/>
        <v>1</v>
      </c>
    </row>
    <row r="39" spans="1:10" x14ac:dyDescent="0.2">
      <c r="A39">
        <v>2010</v>
      </c>
      <c r="B39">
        <v>111</v>
      </c>
      <c r="C39" t="s">
        <v>387</v>
      </c>
      <c r="D39" t="s">
        <v>682</v>
      </c>
      <c r="E39" s="8">
        <v>4400</v>
      </c>
      <c r="F39" s="8">
        <v>4400</v>
      </c>
      <c r="G39" s="8">
        <v>0</v>
      </c>
      <c r="H39" s="6">
        <v>12</v>
      </c>
      <c r="I39" s="4">
        <f t="shared" si="0"/>
        <v>1</v>
      </c>
      <c r="J39" s="4">
        <f t="shared" si="1"/>
        <v>0</v>
      </c>
    </row>
    <row r="40" spans="1:10" x14ac:dyDescent="0.2">
      <c r="A40">
        <v>2010</v>
      </c>
      <c r="B40">
        <v>111</v>
      </c>
      <c r="C40" t="s">
        <v>387</v>
      </c>
      <c r="D40" t="s">
        <v>582</v>
      </c>
      <c r="E40" s="8">
        <v>4000</v>
      </c>
      <c r="F40" s="8">
        <v>0</v>
      </c>
      <c r="G40" s="8">
        <v>4000</v>
      </c>
      <c r="H40" s="6">
        <v>13</v>
      </c>
      <c r="I40" s="4">
        <f t="shared" si="0"/>
        <v>0</v>
      </c>
      <c r="J40" s="4">
        <f t="shared" si="1"/>
        <v>1</v>
      </c>
    </row>
    <row r="41" spans="1:10" x14ac:dyDescent="0.2">
      <c r="A41">
        <v>2010</v>
      </c>
      <c r="B41">
        <v>111</v>
      </c>
      <c r="C41" t="s">
        <v>387</v>
      </c>
      <c r="D41" t="s">
        <v>693</v>
      </c>
      <c r="E41" s="8">
        <v>3700</v>
      </c>
      <c r="F41" s="8">
        <v>3700</v>
      </c>
      <c r="G41" s="8">
        <v>0</v>
      </c>
      <c r="H41" s="6">
        <v>14</v>
      </c>
      <c r="I41" s="4">
        <f t="shared" si="0"/>
        <v>1</v>
      </c>
      <c r="J41" s="4">
        <f t="shared" si="1"/>
        <v>0</v>
      </c>
    </row>
    <row r="42" spans="1:10" x14ac:dyDescent="0.2">
      <c r="A42">
        <v>2010</v>
      </c>
      <c r="B42">
        <v>111</v>
      </c>
      <c r="C42" t="s">
        <v>387</v>
      </c>
      <c r="D42" t="s">
        <v>30</v>
      </c>
      <c r="E42" s="8">
        <v>2000</v>
      </c>
      <c r="F42" s="8">
        <v>0</v>
      </c>
      <c r="G42" s="8">
        <v>2000</v>
      </c>
      <c r="H42" s="6">
        <v>15</v>
      </c>
      <c r="I42" s="4">
        <f t="shared" si="0"/>
        <v>0</v>
      </c>
      <c r="J42" s="4">
        <f t="shared" si="1"/>
        <v>1</v>
      </c>
    </row>
    <row r="43" spans="1:10" x14ac:dyDescent="0.2">
      <c r="A43">
        <v>2010</v>
      </c>
      <c r="B43">
        <v>111</v>
      </c>
      <c r="C43" t="s">
        <v>387</v>
      </c>
      <c r="D43" t="s">
        <v>694</v>
      </c>
      <c r="E43" s="8">
        <v>2000</v>
      </c>
      <c r="F43" s="8">
        <v>2000</v>
      </c>
      <c r="G43" s="8">
        <v>0</v>
      </c>
      <c r="H43" s="6">
        <v>15</v>
      </c>
      <c r="I43" s="4">
        <f t="shared" si="0"/>
        <v>1</v>
      </c>
      <c r="J43" s="4">
        <f t="shared" si="1"/>
        <v>0</v>
      </c>
    </row>
    <row r="44" spans="1:10" x14ac:dyDescent="0.2">
      <c r="A44">
        <v>2010</v>
      </c>
      <c r="B44">
        <v>111</v>
      </c>
      <c r="C44" t="s">
        <v>387</v>
      </c>
      <c r="D44" t="s">
        <v>599</v>
      </c>
      <c r="E44" s="8">
        <v>2000</v>
      </c>
      <c r="F44" s="8">
        <v>2000</v>
      </c>
      <c r="G44" s="8">
        <v>0</v>
      </c>
      <c r="H44" s="6">
        <v>15</v>
      </c>
      <c r="I44" s="4">
        <f t="shared" si="0"/>
        <v>1</v>
      </c>
      <c r="J44" s="4">
        <f t="shared" si="1"/>
        <v>0</v>
      </c>
    </row>
    <row r="45" spans="1:10" x14ac:dyDescent="0.2">
      <c r="A45">
        <v>2010</v>
      </c>
      <c r="B45">
        <v>111</v>
      </c>
      <c r="C45" t="s">
        <v>387</v>
      </c>
      <c r="D45" t="s">
        <v>678</v>
      </c>
      <c r="E45" s="8">
        <v>2000</v>
      </c>
      <c r="F45" s="8">
        <v>2000</v>
      </c>
      <c r="G45" s="8">
        <v>0</v>
      </c>
      <c r="H45" s="6">
        <v>15</v>
      </c>
      <c r="I45" s="4">
        <f t="shared" si="0"/>
        <v>1</v>
      </c>
      <c r="J45" s="4">
        <f t="shared" si="1"/>
        <v>0</v>
      </c>
    </row>
    <row r="46" spans="1:10" x14ac:dyDescent="0.2">
      <c r="A46">
        <v>2010</v>
      </c>
      <c r="B46">
        <v>111</v>
      </c>
      <c r="C46" t="s">
        <v>387</v>
      </c>
      <c r="D46" t="s">
        <v>684</v>
      </c>
      <c r="E46" s="8">
        <v>1000</v>
      </c>
      <c r="F46" s="8">
        <v>0</v>
      </c>
      <c r="G46" s="8">
        <v>1000</v>
      </c>
      <c r="H46" s="6">
        <v>19</v>
      </c>
      <c r="I46" s="4">
        <f t="shared" si="0"/>
        <v>0</v>
      </c>
      <c r="J46" s="4">
        <f t="shared" si="1"/>
        <v>1</v>
      </c>
    </row>
    <row r="47" spans="1:10" x14ac:dyDescent="0.2">
      <c r="A47">
        <v>2010</v>
      </c>
      <c r="B47">
        <v>111</v>
      </c>
      <c r="C47" t="s">
        <v>387</v>
      </c>
      <c r="D47" t="s">
        <v>409</v>
      </c>
      <c r="E47" s="8">
        <v>1000</v>
      </c>
      <c r="F47" s="8">
        <v>0</v>
      </c>
      <c r="G47" s="8">
        <v>1000</v>
      </c>
      <c r="H47" s="6">
        <v>19</v>
      </c>
      <c r="I47" s="4">
        <f t="shared" si="0"/>
        <v>0</v>
      </c>
      <c r="J47" s="4">
        <f t="shared" si="1"/>
        <v>1</v>
      </c>
    </row>
    <row r="48" spans="1:10" x14ac:dyDescent="0.2">
      <c r="A48">
        <v>2010</v>
      </c>
      <c r="B48">
        <v>111</v>
      </c>
      <c r="C48" t="s">
        <v>387</v>
      </c>
      <c r="D48" t="s">
        <v>695</v>
      </c>
      <c r="E48" s="8">
        <v>1000</v>
      </c>
      <c r="F48" s="8">
        <v>1000</v>
      </c>
      <c r="G48" s="8">
        <v>0</v>
      </c>
      <c r="H48" s="6">
        <v>19</v>
      </c>
      <c r="I48" s="4">
        <f t="shared" si="0"/>
        <v>1</v>
      </c>
      <c r="J48" s="4">
        <f t="shared" si="1"/>
        <v>0</v>
      </c>
    </row>
    <row r="49" spans="1:10" x14ac:dyDescent="0.2">
      <c r="A49">
        <v>2010</v>
      </c>
      <c r="B49">
        <v>111</v>
      </c>
      <c r="C49" t="s">
        <v>387</v>
      </c>
      <c r="D49" t="s">
        <v>618</v>
      </c>
      <c r="E49" s="8">
        <v>1000</v>
      </c>
      <c r="F49" s="8">
        <v>1000</v>
      </c>
      <c r="G49" s="8">
        <v>0</v>
      </c>
      <c r="H49" s="6">
        <v>19</v>
      </c>
      <c r="I49" s="4">
        <f t="shared" si="0"/>
        <v>1</v>
      </c>
      <c r="J49" s="4">
        <f t="shared" si="1"/>
        <v>0</v>
      </c>
    </row>
    <row r="50" spans="1:10" x14ac:dyDescent="0.2">
      <c r="A50">
        <v>2010</v>
      </c>
      <c r="B50">
        <v>111</v>
      </c>
      <c r="C50" t="s">
        <v>387</v>
      </c>
      <c r="D50" t="s">
        <v>696</v>
      </c>
      <c r="E50" s="8">
        <v>1000</v>
      </c>
      <c r="F50" s="8">
        <v>1000</v>
      </c>
      <c r="G50" s="8">
        <v>0</v>
      </c>
      <c r="H50" s="6">
        <v>19</v>
      </c>
      <c r="I50" s="4">
        <f t="shared" si="0"/>
        <v>1</v>
      </c>
      <c r="J50" s="4">
        <f t="shared" si="1"/>
        <v>0</v>
      </c>
    </row>
    <row r="51" spans="1:10" x14ac:dyDescent="0.2">
      <c r="A51">
        <v>2010</v>
      </c>
      <c r="B51">
        <v>111</v>
      </c>
      <c r="C51" t="s">
        <v>387</v>
      </c>
      <c r="D51" t="s">
        <v>581</v>
      </c>
      <c r="E51" s="8">
        <v>800</v>
      </c>
      <c r="F51" s="8">
        <v>0</v>
      </c>
      <c r="G51" s="8">
        <v>800</v>
      </c>
      <c r="H51" s="6">
        <v>24</v>
      </c>
      <c r="I51" s="4">
        <f t="shared" si="0"/>
        <v>0</v>
      </c>
      <c r="J51" s="4">
        <f t="shared" si="1"/>
        <v>1</v>
      </c>
    </row>
    <row r="52" spans="1:10" x14ac:dyDescent="0.2">
      <c r="A52">
        <v>2010</v>
      </c>
      <c r="B52">
        <v>111</v>
      </c>
      <c r="C52" t="s">
        <v>387</v>
      </c>
      <c r="D52" t="s">
        <v>8</v>
      </c>
      <c r="E52" s="8">
        <v>600</v>
      </c>
      <c r="F52" s="8">
        <v>600</v>
      </c>
      <c r="G52" s="8">
        <v>0</v>
      </c>
      <c r="H52" s="6">
        <v>25</v>
      </c>
      <c r="I52" s="4">
        <f t="shared" si="0"/>
        <v>1</v>
      </c>
      <c r="J52" s="4">
        <f t="shared" si="1"/>
        <v>0</v>
      </c>
    </row>
    <row r="53" spans="1:10" x14ac:dyDescent="0.2">
      <c r="A53">
        <v>2010</v>
      </c>
      <c r="B53">
        <v>111</v>
      </c>
      <c r="C53" t="s">
        <v>387</v>
      </c>
      <c r="D53" t="s">
        <v>614</v>
      </c>
      <c r="E53" s="8">
        <v>500</v>
      </c>
      <c r="F53" s="8">
        <v>500</v>
      </c>
      <c r="G53" s="8">
        <v>0</v>
      </c>
      <c r="H53" s="6">
        <v>26</v>
      </c>
      <c r="I53" s="4">
        <f t="shared" si="0"/>
        <v>1</v>
      </c>
      <c r="J53" s="4">
        <f t="shared" si="1"/>
        <v>0</v>
      </c>
    </row>
    <row r="54" spans="1:10" x14ac:dyDescent="0.2">
      <c r="A54">
        <v>2010</v>
      </c>
      <c r="B54">
        <v>111</v>
      </c>
      <c r="C54" t="s">
        <v>387</v>
      </c>
      <c r="D54" t="s">
        <v>642</v>
      </c>
      <c r="E54" s="8">
        <v>500</v>
      </c>
      <c r="F54" s="8">
        <v>0</v>
      </c>
      <c r="G54" s="8">
        <v>500</v>
      </c>
      <c r="H54" s="6">
        <v>26</v>
      </c>
      <c r="I54" s="4">
        <f t="shared" si="0"/>
        <v>0</v>
      </c>
      <c r="J54" s="4">
        <f t="shared" si="1"/>
        <v>1</v>
      </c>
    </row>
    <row r="55" spans="1:10" x14ac:dyDescent="0.2">
      <c r="A55">
        <v>2010</v>
      </c>
      <c r="B55">
        <v>111</v>
      </c>
      <c r="C55" t="s">
        <v>387</v>
      </c>
      <c r="D55" t="s">
        <v>697</v>
      </c>
      <c r="E55" s="8">
        <v>450</v>
      </c>
      <c r="F55" s="8">
        <v>450</v>
      </c>
      <c r="G55" s="8">
        <v>0</v>
      </c>
      <c r="H55" s="6">
        <v>28</v>
      </c>
      <c r="I55" s="4">
        <f t="shared" si="0"/>
        <v>1</v>
      </c>
      <c r="J55" s="4">
        <f t="shared" si="1"/>
        <v>0</v>
      </c>
    </row>
    <row r="56" spans="1:10" x14ac:dyDescent="0.2">
      <c r="A56">
        <v>2010</v>
      </c>
      <c r="B56">
        <v>111</v>
      </c>
      <c r="C56" t="s">
        <v>387</v>
      </c>
      <c r="D56" t="s">
        <v>569</v>
      </c>
      <c r="E56" s="8">
        <v>250</v>
      </c>
      <c r="F56" s="8">
        <v>250</v>
      </c>
      <c r="G56" s="8">
        <v>0</v>
      </c>
      <c r="H56" s="6">
        <v>29</v>
      </c>
      <c r="I56" s="4">
        <f t="shared" si="0"/>
        <v>1</v>
      </c>
      <c r="J56" s="4">
        <f t="shared" si="1"/>
        <v>0</v>
      </c>
    </row>
    <row r="57" spans="1:10" x14ac:dyDescent="0.2">
      <c r="A57">
        <v>2010</v>
      </c>
      <c r="B57">
        <v>111</v>
      </c>
      <c r="C57" t="s">
        <v>387</v>
      </c>
      <c r="D57" t="s">
        <v>698</v>
      </c>
      <c r="E57" s="8">
        <v>250</v>
      </c>
      <c r="F57" s="8">
        <v>250</v>
      </c>
      <c r="G57" s="8">
        <v>0</v>
      </c>
      <c r="H57" s="6">
        <v>29</v>
      </c>
      <c r="I57" s="4">
        <f t="shared" si="0"/>
        <v>1</v>
      </c>
      <c r="J57" s="4">
        <f t="shared" si="1"/>
        <v>0</v>
      </c>
    </row>
    <row r="58" spans="1:10" x14ac:dyDescent="0.2">
      <c r="A58">
        <v>2012</v>
      </c>
      <c r="B58">
        <v>112</v>
      </c>
      <c r="C58" t="s">
        <v>386</v>
      </c>
      <c r="D58" t="s">
        <v>210</v>
      </c>
      <c r="E58" s="8">
        <v>35088</v>
      </c>
      <c r="F58" s="8">
        <v>13088</v>
      </c>
      <c r="G58" s="8">
        <v>22000</v>
      </c>
      <c r="H58" s="6">
        <v>1</v>
      </c>
      <c r="I58" s="4">
        <f t="shared" si="0"/>
        <v>0.37300501595987234</v>
      </c>
      <c r="J58" s="4">
        <f t="shared" si="1"/>
        <v>0.62699498404012766</v>
      </c>
    </row>
    <row r="59" spans="1:10" x14ac:dyDescent="0.2">
      <c r="A59">
        <v>2012</v>
      </c>
      <c r="B59">
        <v>112</v>
      </c>
      <c r="C59" t="s">
        <v>386</v>
      </c>
      <c r="D59" t="s">
        <v>562</v>
      </c>
      <c r="E59" s="8">
        <v>32750</v>
      </c>
      <c r="F59" s="8">
        <v>9000</v>
      </c>
      <c r="G59" s="8">
        <v>23750</v>
      </c>
      <c r="H59" s="6">
        <v>2</v>
      </c>
      <c r="I59" s="4">
        <f t="shared" si="0"/>
        <v>0.27480916030534353</v>
      </c>
      <c r="J59" s="4">
        <f t="shared" si="1"/>
        <v>0.72519083969465647</v>
      </c>
    </row>
    <row r="60" spans="1:10" x14ac:dyDescent="0.2">
      <c r="A60">
        <v>2012</v>
      </c>
      <c r="B60">
        <v>112</v>
      </c>
      <c r="C60" t="s">
        <v>386</v>
      </c>
      <c r="D60" t="s">
        <v>616</v>
      </c>
      <c r="E60" s="8">
        <v>32500</v>
      </c>
      <c r="F60" s="8">
        <v>13500</v>
      </c>
      <c r="G60" s="8">
        <v>19000</v>
      </c>
      <c r="H60" s="6">
        <v>3</v>
      </c>
      <c r="I60" s="4">
        <f t="shared" si="0"/>
        <v>0.41538461538461541</v>
      </c>
      <c r="J60" s="4">
        <f t="shared" si="1"/>
        <v>0.58461538461538465</v>
      </c>
    </row>
    <row r="61" spans="1:10" x14ac:dyDescent="0.2">
      <c r="A61">
        <v>2012</v>
      </c>
      <c r="B61">
        <v>112</v>
      </c>
      <c r="C61" t="s">
        <v>386</v>
      </c>
      <c r="D61" t="s">
        <v>556</v>
      </c>
      <c r="E61" s="8">
        <v>26500</v>
      </c>
      <c r="F61" s="8">
        <v>11000</v>
      </c>
      <c r="G61" s="8">
        <v>15500</v>
      </c>
      <c r="H61" s="6">
        <v>4</v>
      </c>
      <c r="I61" s="4">
        <f t="shared" si="0"/>
        <v>0.41509433962264153</v>
      </c>
      <c r="J61" s="4">
        <f t="shared" si="1"/>
        <v>0.58490566037735847</v>
      </c>
    </row>
    <row r="62" spans="1:10" x14ac:dyDescent="0.2">
      <c r="A62">
        <v>2012</v>
      </c>
      <c r="B62">
        <v>112</v>
      </c>
      <c r="C62" t="s">
        <v>386</v>
      </c>
      <c r="D62" t="s">
        <v>599</v>
      </c>
      <c r="E62" s="8">
        <v>22000</v>
      </c>
      <c r="F62" s="8">
        <v>22000</v>
      </c>
      <c r="G62" s="8">
        <v>0</v>
      </c>
      <c r="H62" s="6">
        <v>5</v>
      </c>
      <c r="I62" s="4">
        <f t="shared" si="0"/>
        <v>1</v>
      </c>
      <c r="J62" s="4">
        <f t="shared" si="1"/>
        <v>0</v>
      </c>
    </row>
    <row r="63" spans="1:10" x14ac:dyDescent="0.2">
      <c r="A63">
        <v>2012</v>
      </c>
      <c r="B63">
        <v>112</v>
      </c>
      <c r="C63" t="s">
        <v>386</v>
      </c>
      <c r="D63" t="s">
        <v>623</v>
      </c>
      <c r="E63" s="8">
        <v>20500</v>
      </c>
      <c r="F63" s="8">
        <v>2000</v>
      </c>
      <c r="G63" s="8">
        <v>18500</v>
      </c>
      <c r="H63" s="6">
        <v>6</v>
      </c>
      <c r="I63" s="4">
        <f t="shared" si="0"/>
        <v>9.7560975609756101E-2</v>
      </c>
      <c r="J63" s="4">
        <f t="shared" si="1"/>
        <v>0.90243902439024393</v>
      </c>
    </row>
    <row r="64" spans="1:10" x14ac:dyDescent="0.2">
      <c r="A64">
        <v>2012</v>
      </c>
      <c r="B64">
        <v>112</v>
      </c>
      <c r="C64" t="s">
        <v>386</v>
      </c>
      <c r="D64" t="s">
        <v>681</v>
      </c>
      <c r="E64" s="8">
        <v>12500</v>
      </c>
      <c r="F64" s="8">
        <v>1500</v>
      </c>
      <c r="G64" s="8">
        <v>11000</v>
      </c>
      <c r="H64" s="6">
        <v>7</v>
      </c>
      <c r="I64" s="4">
        <f t="shared" si="0"/>
        <v>0.12</v>
      </c>
      <c r="J64" s="4">
        <f t="shared" si="1"/>
        <v>0.88</v>
      </c>
    </row>
    <row r="65" spans="1:10" x14ac:dyDescent="0.2">
      <c r="A65">
        <v>2012</v>
      </c>
      <c r="B65">
        <v>112</v>
      </c>
      <c r="C65" t="s">
        <v>386</v>
      </c>
      <c r="D65" t="s">
        <v>684</v>
      </c>
      <c r="E65" s="8">
        <v>6000</v>
      </c>
      <c r="F65" s="8">
        <v>5000</v>
      </c>
      <c r="G65" s="8">
        <v>1000</v>
      </c>
      <c r="H65" s="6">
        <v>8</v>
      </c>
      <c r="I65" s="4">
        <f t="shared" si="0"/>
        <v>0.83333333333333337</v>
      </c>
      <c r="J65" s="4">
        <f t="shared" si="1"/>
        <v>0.16666666666666666</v>
      </c>
    </row>
    <row r="66" spans="1:10" x14ac:dyDescent="0.2">
      <c r="A66">
        <v>2012</v>
      </c>
      <c r="B66">
        <v>112</v>
      </c>
      <c r="C66" t="s">
        <v>386</v>
      </c>
      <c r="D66" t="s">
        <v>597</v>
      </c>
      <c r="E66" s="8">
        <v>5500</v>
      </c>
      <c r="F66" s="8">
        <v>1000</v>
      </c>
      <c r="G66" s="8">
        <v>4500</v>
      </c>
      <c r="H66" s="6">
        <v>9</v>
      </c>
      <c r="I66" s="4">
        <f t="shared" si="0"/>
        <v>0.18181818181818182</v>
      </c>
      <c r="J66" s="4">
        <f t="shared" si="1"/>
        <v>0.81818181818181823</v>
      </c>
    </row>
    <row r="67" spans="1:10" x14ac:dyDescent="0.2">
      <c r="A67">
        <v>2012</v>
      </c>
      <c r="B67">
        <v>112</v>
      </c>
      <c r="C67" t="s">
        <v>386</v>
      </c>
      <c r="D67" t="s">
        <v>653</v>
      </c>
      <c r="E67" s="8">
        <v>5000</v>
      </c>
      <c r="F67" s="8">
        <v>3000</v>
      </c>
      <c r="G67" s="8">
        <v>2000</v>
      </c>
      <c r="H67" s="6">
        <v>10</v>
      </c>
      <c r="I67" s="4">
        <f t="shared" ref="I67:I90" si="2">F67/E67</f>
        <v>0.6</v>
      </c>
      <c r="J67" s="4">
        <f t="shared" ref="J67:J90" si="3">G67/E67</f>
        <v>0.4</v>
      </c>
    </row>
    <row r="68" spans="1:10" x14ac:dyDescent="0.2">
      <c r="A68">
        <v>2012</v>
      </c>
      <c r="B68">
        <v>112</v>
      </c>
      <c r="C68" t="s">
        <v>386</v>
      </c>
      <c r="D68" t="s">
        <v>689</v>
      </c>
      <c r="E68" s="8">
        <v>3500</v>
      </c>
      <c r="F68" s="8">
        <v>0</v>
      </c>
      <c r="G68" s="8">
        <v>3500</v>
      </c>
      <c r="H68" s="6">
        <v>11</v>
      </c>
      <c r="I68" s="4">
        <f t="shared" si="2"/>
        <v>0</v>
      </c>
      <c r="J68" s="4">
        <f t="shared" si="3"/>
        <v>1</v>
      </c>
    </row>
    <row r="69" spans="1:10" x14ac:dyDescent="0.2">
      <c r="A69">
        <v>2012</v>
      </c>
      <c r="B69">
        <v>112</v>
      </c>
      <c r="C69" t="s">
        <v>386</v>
      </c>
      <c r="D69" t="s">
        <v>582</v>
      </c>
      <c r="E69" s="8">
        <v>3500</v>
      </c>
      <c r="F69" s="8">
        <v>0</v>
      </c>
      <c r="G69" s="8">
        <v>3500</v>
      </c>
      <c r="H69" s="6">
        <v>11</v>
      </c>
      <c r="I69" s="4">
        <f t="shared" si="2"/>
        <v>0</v>
      </c>
      <c r="J69" s="4">
        <f t="shared" si="3"/>
        <v>1</v>
      </c>
    </row>
    <row r="70" spans="1:10" x14ac:dyDescent="0.2">
      <c r="A70">
        <v>2012</v>
      </c>
      <c r="B70">
        <v>112</v>
      </c>
      <c r="C70" t="s">
        <v>386</v>
      </c>
      <c r="D70" t="s">
        <v>581</v>
      </c>
      <c r="E70" s="8">
        <v>2500</v>
      </c>
      <c r="F70" s="8">
        <v>0</v>
      </c>
      <c r="G70" s="8">
        <v>2500</v>
      </c>
      <c r="H70" s="6">
        <v>13</v>
      </c>
      <c r="I70" s="4">
        <f t="shared" si="2"/>
        <v>0</v>
      </c>
      <c r="J70" s="4">
        <f t="shared" si="3"/>
        <v>1</v>
      </c>
    </row>
    <row r="71" spans="1:10" x14ac:dyDescent="0.2">
      <c r="A71">
        <v>2012</v>
      </c>
      <c r="B71">
        <v>112</v>
      </c>
      <c r="C71" t="s">
        <v>386</v>
      </c>
      <c r="D71" t="s">
        <v>699</v>
      </c>
      <c r="E71" s="8">
        <v>2500</v>
      </c>
      <c r="F71" s="8">
        <v>0</v>
      </c>
      <c r="G71" s="8">
        <v>2500</v>
      </c>
      <c r="H71" s="6">
        <v>13</v>
      </c>
      <c r="I71" s="4">
        <f t="shared" si="2"/>
        <v>0</v>
      </c>
      <c r="J71" s="4">
        <f t="shared" si="3"/>
        <v>1</v>
      </c>
    </row>
    <row r="72" spans="1:10" x14ac:dyDescent="0.2">
      <c r="A72">
        <v>2012</v>
      </c>
      <c r="B72">
        <v>112</v>
      </c>
      <c r="C72" t="s">
        <v>386</v>
      </c>
      <c r="D72" t="s">
        <v>685</v>
      </c>
      <c r="E72" s="8">
        <v>2500</v>
      </c>
      <c r="F72" s="8">
        <v>2500</v>
      </c>
      <c r="G72" s="8">
        <v>0</v>
      </c>
      <c r="H72" s="6">
        <v>13</v>
      </c>
      <c r="I72" s="4">
        <f t="shared" si="2"/>
        <v>1</v>
      </c>
      <c r="J72" s="4">
        <f t="shared" si="3"/>
        <v>0</v>
      </c>
    </row>
    <row r="73" spans="1:10" x14ac:dyDescent="0.2">
      <c r="A73">
        <v>2012</v>
      </c>
      <c r="B73">
        <v>112</v>
      </c>
      <c r="C73" t="s">
        <v>386</v>
      </c>
      <c r="D73" t="s">
        <v>700</v>
      </c>
      <c r="E73" s="8">
        <v>700</v>
      </c>
      <c r="F73" s="8">
        <v>700</v>
      </c>
      <c r="G73" s="8">
        <v>0</v>
      </c>
      <c r="H73" s="6">
        <v>16</v>
      </c>
      <c r="I73" s="4">
        <f t="shared" si="2"/>
        <v>1</v>
      </c>
      <c r="J73" s="4">
        <f t="shared" si="3"/>
        <v>0</v>
      </c>
    </row>
    <row r="74" spans="1:10" x14ac:dyDescent="0.2">
      <c r="A74">
        <v>2012</v>
      </c>
      <c r="B74">
        <v>112</v>
      </c>
      <c r="C74" t="s">
        <v>386</v>
      </c>
      <c r="D74" t="s">
        <v>618</v>
      </c>
      <c r="E74" s="8">
        <v>500</v>
      </c>
      <c r="F74" s="8">
        <v>500</v>
      </c>
      <c r="G74" s="8">
        <v>0</v>
      </c>
      <c r="H74" s="6">
        <v>17</v>
      </c>
      <c r="I74" s="4">
        <f t="shared" si="2"/>
        <v>1</v>
      </c>
      <c r="J74" s="4">
        <f t="shared" si="3"/>
        <v>0</v>
      </c>
    </row>
    <row r="75" spans="1:10" x14ac:dyDescent="0.2">
      <c r="A75">
        <v>2012</v>
      </c>
      <c r="B75">
        <v>112</v>
      </c>
      <c r="C75" t="s">
        <v>386</v>
      </c>
      <c r="D75" t="s">
        <v>701</v>
      </c>
      <c r="E75" s="8">
        <v>500</v>
      </c>
      <c r="F75" s="8">
        <v>0</v>
      </c>
      <c r="G75" s="8">
        <v>500</v>
      </c>
      <c r="H75" s="6">
        <v>17</v>
      </c>
      <c r="I75" s="4">
        <f t="shared" si="2"/>
        <v>0</v>
      </c>
      <c r="J75" s="4">
        <f t="shared" si="3"/>
        <v>1</v>
      </c>
    </row>
    <row r="76" spans="1:10" x14ac:dyDescent="0.2">
      <c r="A76">
        <v>2012</v>
      </c>
      <c r="B76">
        <v>112</v>
      </c>
      <c r="C76" t="s">
        <v>386</v>
      </c>
      <c r="D76" t="s">
        <v>678</v>
      </c>
      <c r="E76" s="8">
        <v>500</v>
      </c>
      <c r="F76" s="8">
        <v>500</v>
      </c>
      <c r="G76" s="8">
        <v>0</v>
      </c>
      <c r="H76" s="6">
        <v>17</v>
      </c>
      <c r="I76" s="4">
        <f t="shared" si="2"/>
        <v>1</v>
      </c>
      <c r="J76" s="4">
        <f t="shared" si="3"/>
        <v>0</v>
      </c>
    </row>
    <row r="77" spans="1:10" x14ac:dyDescent="0.2">
      <c r="A77">
        <v>2012</v>
      </c>
      <c r="B77">
        <v>112</v>
      </c>
      <c r="C77" t="s">
        <v>387</v>
      </c>
      <c r="D77" t="s">
        <v>616</v>
      </c>
      <c r="E77" s="8">
        <v>30000</v>
      </c>
      <c r="F77" s="8">
        <v>14000</v>
      </c>
      <c r="G77" s="8">
        <v>16000</v>
      </c>
      <c r="H77" s="6">
        <v>1</v>
      </c>
      <c r="I77" s="4">
        <f t="shared" si="2"/>
        <v>0.46666666666666667</v>
      </c>
      <c r="J77" s="4">
        <f t="shared" si="3"/>
        <v>0.53333333333333333</v>
      </c>
    </row>
    <row r="78" spans="1:10" x14ac:dyDescent="0.2">
      <c r="A78">
        <v>2012</v>
      </c>
      <c r="B78">
        <v>112</v>
      </c>
      <c r="C78" t="s">
        <v>387</v>
      </c>
      <c r="D78" t="s">
        <v>210</v>
      </c>
      <c r="E78" s="8">
        <v>20483</v>
      </c>
      <c r="F78" s="8">
        <v>14483</v>
      </c>
      <c r="G78" s="8">
        <v>6000</v>
      </c>
      <c r="H78" s="6">
        <v>2</v>
      </c>
      <c r="I78" s="4">
        <f t="shared" si="2"/>
        <v>0.70707415905873161</v>
      </c>
      <c r="J78" s="4">
        <f t="shared" si="3"/>
        <v>0.29292584094126839</v>
      </c>
    </row>
    <row r="79" spans="1:10" x14ac:dyDescent="0.2">
      <c r="A79">
        <v>2012</v>
      </c>
      <c r="B79">
        <v>112</v>
      </c>
      <c r="C79" t="s">
        <v>387</v>
      </c>
      <c r="D79" t="s">
        <v>562</v>
      </c>
      <c r="E79" s="8">
        <v>19000</v>
      </c>
      <c r="F79" s="8">
        <v>5500</v>
      </c>
      <c r="G79" s="8">
        <v>13500</v>
      </c>
      <c r="H79" s="6">
        <v>3</v>
      </c>
      <c r="I79" s="4">
        <f t="shared" si="2"/>
        <v>0.28947368421052633</v>
      </c>
      <c r="J79" s="4">
        <f t="shared" si="3"/>
        <v>0.71052631578947367</v>
      </c>
    </row>
    <row r="80" spans="1:10" x14ac:dyDescent="0.2">
      <c r="A80">
        <v>2012</v>
      </c>
      <c r="B80">
        <v>112</v>
      </c>
      <c r="C80" t="s">
        <v>387</v>
      </c>
      <c r="D80" t="s">
        <v>556</v>
      </c>
      <c r="E80" s="8">
        <v>18000</v>
      </c>
      <c r="F80" s="8">
        <v>10000</v>
      </c>
      <c r="G80" s="8">
        <v>8000</v>
      </c>
      <c r="H80" s="6">
        <v>4</v>
      </c>
      <c r="I80" s="4">
        <f t="shared" si="2"/>
        <v>0.55555555555555558</v>
      </c>
      <c r="J80" s="4">
        <f t="shared" si="3"/>
        <v>0.44444444444444442</v>
      </c>
    </row>
    <row r="81" spans="1:10" x14ac:dyDescent="0.2">
      <c r="A81">
        <v>2012</v>
      </c>
      <c r="B81">
        <v>112</v>
      </c>
      <c r="C81" t="s">
        <v>387</v>
      </c>
      <c r="D81" t="s">
        <v>623</v>
      </c>
      <c r="E81" s="8">
        <v>9500</v>
      </c>
      <c r="F81" s="8">
        <v>2500</v>
      </c>
      <c r="G81" s="8">
        <v>7000</v>
      </c>
      <c r="H81" s="6">
        <v>5</v>
      </c>
      <c r="I81" s="4">
        <f t="shared" si="2"/>
        <v>0.26315789473684209</v>
      </c>
      <c r="J81" s="4">
        <f t="shared" si="3"/>
        <v>0.73684210526315785</v>
      </c>
    </row>
    <row r="82" spans="1:10" x14ac:dyDescent="0.2">
      <c r="A82">
        <v>2012</v>
      </c>
      <c r="B82">
        <v>112</v>
      </c>
      <c r="C82" t="s">
        <v>387</v>
      </c>
      <c r="D82" t="s">
        <v>597</v>
      </c>
      <c r="E82" s="8">
        <v>7000</v>
      </c>
      <c r="F82" s="8">
        <v>6000</v>
      </c>
      <c r="G82" s="8">
        <v>1000</v>
      </c>
      <c r="H82" s="6">
        <v>6</v>
      </c>
      <c r="I82" s="4">
        <f t="shared" si="2"/>
        <v>0.8571428571428571</v>
      </c>
      <c r="J82" s="4">
        <f t="shared" si="3"/>
        <v>0.14285714285714285</v>
      </c>
    </row>
    <row r="83" spans="1:10" x14ac:dyDescent="0.2">
      <c r="A83">
        <v>2012</v>
      </c>
      <c r="B83">
        <v>112</v>
      </c>
      <c r="C83" t="s">
        <v>387</v>
      </c>
      <c r="D83" t="s">
        <v>582</v>
      </c>
      <c r="E83" s="8">
        <v>4500</v>
      </c>
      <c r="F83" s="8">
        <v>3500</v>
      </c>
      <c r="G83" s="8">
        <v>1000</v>
      </c>
      <c r="H83" s="6">
        <v>7</v>
      </c>
      <c r="I83" s="4">
        <f t="shared" si="2"/>
        <v>0.77777777777777779</v>
      </c>
      <c r="J83" s="4">
        <f t="shared" si="3"/>
        <v>0.22222222222222221</v>
      </c>
    </row>
    <row r="84" spans="1:10" x14ac:dyDescent="0.2">
      <c r="A84">
        <v>2012</v>
      </c>
      <c r="B84">
        <v>112</v>
      </c>
      <c r="C84" t="s">
        <v>387</v>
      </c>
      <c r="D84" t="s">
        <v>702</v>
      </c>
      <c r="E84" s="8">
        <v>3500</v>
      </c>
      <c r="F84" s="8">
        <v>0</v>
      </c>
      <c r="G84" s="8">
        <v>3500</v>
      </c>
      <c r="H84" s="6">
        <v>8</v>
      </c>
      <c r="I84" s="4">
        <f t="shared" si="2"/>
        <v>0</v>
      </c>
      <c r="J84" s="4">
        <f t="shared" si="3"/>
        <v>1</v>
      </c>
    </row>
    <row r="85" spans="1:10" x14ac:dyDescent="0.2">
      <c r="A85">
        <v>2012</v>
      </c>
      <c r="B85">
        <v>112</v>
      </c>
      <c r="C85" t="s">
        <v>387</v>
      </c>
      <c r="D85" t="s">
        <v>30</v>
      </c>
      <c r="E85" s="8">
        <v>2000</v>
      </c>
      <c r="F85" s="8">
        <v>0</v>
      </c>
      <c r="G85" s="8">
        <v>2000</v>
      </c>
      <c r="H85" s="6">
        <v>9</v>
      </c>
      <c r="I85" s="4">
        <f t="shared" si="2"/>
        <v>0</v>
      </c>
      <c r="J85" s="4">
        <f t="shared" si="3"/>
        <v>1</v>
      </c>
    </row>
    <row r="86" spans="1:10" x14ac:dyDescent="0.2">
      <c r="A86">
        <v>2012</v>
      </c>
      <c r="B86">
        <v>112</v>
      </c>
      <c r="C86" t="s">
        <v>387</v>
      </c>
      <c r="D86" t="s">
        <v>689</v>
      </c>
      <c r="E86" s="8">
        <v>1500</v>
      </c>
      <c r="F86" s="8">
        <v>0</v>
      </c>
      <c r="G86" s="8">
        <v>1500</v>
      </c>
      <c r="H86" s="6">
        <v>10</v>
      </c>
      <c r="I86" s="4">
        <f t="shared" si="2"/>
        <v>0</v>
      </c>
      <c r="J86" s="4">
        <f t="shared" si="3"/>
        <v>1</v>
      </c>
    </row>
    <row r="87" spans="1:10" x14ac:dyDescent="0.2">
      <c r="A87">
        <v>2012</v>
      </c>
      <c r="B87">
        <v>112</v>
      </c>
      <c r="C87" t="s">
        <v>387</v>
      </c>
      <c r="D87" t="s">
        <v>682</v>
      </c>
      <c r="E87" s="8">
        <v>1000</v>
      </c>
      <c r="F87" s="8">
        <v>1000</v>
      </c>
      <c r="G87" s="8">
        <v>0</v>
      </c>
      <c r="H87" s="6">
        <v>11</v>
      </c>
      <c r="I87" s="4">
        <f t="shared" si="2"/>
        <v>1</v>
      </c>
      <c r="J87" s="4">
        <f t="shared" si="3"/>
        <v>0</v>
      </c>
    </row>
    <row r="88" spans="1:10" x14ac:dyDescent="0.2">
      <c r="A88">
        <v>2012</v>
      </c>
      <c r="B88">
        <v>112</v>
      </c>
      <c r="C88" t="s">
        <v>387</v>
      </c>
      <c r="D88" t="s">
        <v>653</v>
      </c>
      <c r="E88" s="8">
        <v>1000</v>
      </c>
      <c r="F88" s="8">
        <v>1000</v>
      </c>
      <c r="G88" s="8">
        <v>0</v>
      </c>
      <c r="H88" s="6">
        <v>11</v>
      </c>
      <c r="I88" s="4">
        <f t="shared" si="2"/>
        <v>1</v>
      </c>
      <c r="J88" s="4">
        <f t="shared" si="3"/>
        <v>0</v>
      </c>
    </row>
    <row r="89" spans="1:10" x14ac:dyDescent="0.2">
      <c r="A89">
        <v>2012</v>
      </c>
      <c r="B89">
        <v>112</v>
      </c>
      <c r="C89" t="s">
        <v>387</v>
      </c>
      <c r="D89" t="s">
        <v>703</v>
      </c>
      <c r="E89" s="8">
        <v>750</v>
      </c>
      <c r="F89" s="8">
        <v>750</v>
      </c>
      <c r="G89" s="8">
        <v>0</v>
      </c>
      <c r="H89" s="6">
        <v>13</v>
      </c>
      <c r="I89" s="4">
        <f t="shared" si="2"/>
        <v>1</v>
      </c>
      <c r="J89" s="4">
        <f t="shared" si="3"/>
        <v>0</v>
      </c>
    </row>
    <row r="90" spans="1:10" x14ac:dyDescent="0.2">
      <c r="A90">
        <v>2012</v>
      </c>
      <c r="B90">
        <v>112</v>
      </c>
      <c r="C90" t="s">
        <v>387</v>
      </c>
      <c r="D90" t="s">
        <v>704</v>
      </c>
      <c r="E90" s="8">
        <v>500</v>
      </c>
      <c r="F90" s="8">
        <v>500</v>
      </c>
      <c r="G90" s="8">
        <v>0</v>
      </c>
      <c r="H90" s="6">
        <v>14</v>
      </c>
      <c r="I90" s="4">
        <f t="shared" si="2"/>
        <v>1</v>
      </c>
      <c r="J90" s="4">
        <f t="shared" si="3"/>
        <v>0</v>
      </c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338"/>
  <sheetViews>
    <sheetView topLeftCell="A8" zoomScale="55" zoomScaleNormal="55" workbookViewId="0">
      <selection activeCell="G23" sqref="G23"/>
    </sheetView>
  </sheetViews>
  <sheetFormatPr defaultColWidth="8.7109375" defaultRowHeight="12.75" x14ac:dyDescent="0.2"/>
  <cols>
    <col min="1" max="1" width="46.5703125" customWidth="1"/>
    <col min="2" max="2" width="34.28515625" customWidth="1"/>
    <col min="3" max="3" width="16" customWidth="1"/>
    <col min="4" max="4" width="17.28515625" customWidth="1"/>
    <col min="5" max="5" width="14.42578125" bestFit="1" customWidth="1"/>
    <col min="6" max="6" width="48.5703125" bestFit="1" customWidth="1"/>
    <col min="7" max="7" width="14.42578125" bestFit="1" customWidth="1"/>
    <col min="8" max="8" width="16" customWidth="1"/>
  </cols>
  <sheetData>
    <row r="1" spans="1:6" s="1" customFormat="1" ht="15" x14ac:dyDescent="0.25">
      <c r="A1" s="17" t="s">
        <v>273</v>
      </c>
      <c r="B1" s="17" t="s">
        <v>93</v>
      </c>
      <c r="C1" s="17" t="s">
        <v>94</v>
      </c>
      <c r="D1" s="17" t="s">
        <v>95</v>
      </c>
      <c r="E1" s="17" t="s">
        <v>520</v>
      </c>
    </row>
    <row r="2" spans="1:6" ht="30" x14ac:dyDescent="0.25">
      <c r="A2" s="18" t="s">
        <v>97</v>
      </c>
      <c r="B2" s="18" t="s">
        <v>522</v>
      </c>
      <c r="C2" s="19">
        <v>0</v>
      </c>
      <c r="D2" s="20"/>
      <c r="E2" s="20"/>
    </row>
    <row r="3" spans="1:6" ht="30" x14ac:dyDescent="0.25">
      <c r="A3" s="18" t="s">
        <v>101</v>
      </c>
      <c r="B3" s="18" t="s">
        <v>522</v>
      </c>
      <c r="C3" s="21"/>
      <c r="D3" s="19">
        <v>15000</v>
      </c>
      <c r="E3" s="21"/>
    </row>
    <row r="4" spans="1:6" ht="30" x14ac:dyDescent="0.25">
      <c r="A4" s="18" t="s">
        <v>102</v>
      </c>
      <c r="B4" s="18" t="s">
        <v>522</v>
      </c>
      <c r="C4" s="21"/>
      <c r="D4" s="22">
        <v>60000</v>
      </c>
      <c r="E4" s="22">
        <v>66000</v>
      </c>
    </row>
    <row r="5" spans="1:6" ht="30" x14ac:dyDescent="0.25">
      <c r="A5" s="18" t="s">
        <v>103</v>
      </c>
      <c r="B5" s="18" t="s">
        <v>522</v>
      </c>
      <c r="C5" s="19">
        <v>60000</v>
      </c>
      <c r="D5" s="19">
        <v>160000</v>
      </c>
      <c r="E5" s="19">
        <v>130000</v>
      </c>
    </row>
    <row r="6" spans="1:6" ht="30" x14ac:dyDescent="0.25">
      <c r="A6" s="18" t="s">
        <v>107</v>
      </c>
      <c r="B6" s="18" t="s">
        <v>522</v>
      </c>
      <c r="C6" s="21"/>
      <c r="D6" s="22">
        <v>0</v>
      </c>
      <c r="E6" s="20"/>
    </row>
    <row r="7" spans="1:6" ht="30" x14ac:dyDescent="0.25">
      <c r="A7" s="18" t="s">
        <v>109</v>
      </c>
      <c r="B7" s="18" t="s">
        <v>522</v>
      </c>
      <c r="C7" s="22">
        <v>0</v>
      </c>
      <c r="D7" s="19">
        <v>31000</v>
      </c>
      <c r="E7" s="22">
        <v>0</v>
      </c>
    </row>
    <row r="8" spans="1:6" ht="30" x14ac:dyDescent="0.25">
      <c r="A8" s="18" t="s">
        <v>110</v>
      </c>
      <c r="B8" s="18" t="s">
        <v>522</v>
      </c>
      <c r="C8" s="22">
        <v>120000</v>
      </c>
      <c r="D8" s="19">
        <v>120000</v>
      </c>
      <c r="E8" s="19">
        <v>30000</v>
      </c>
    </row>
    <row r="9" spans="1:6" ht="30" x14ac:dyDescent="0.25">
      <c r="A9" s="18" t="s">
        <v>111</v>
      </c>
      <c r="B9" s="18" t="s">
        <v>522</v>
      </c>
      <c r="C9" s="21"/>
      <c r="D9" s="19">
        <v>5000</v>
      </c>
      <c r="E9" s="19">
        <v>20000</v>
      </c>
    </row>
    <row r="10" spans="1:6" ht="30" x14ac:dyDescent="0.25">
      <c r="A10" s="18" t="s">
        <v>112</v>
      </c>
      <c r="B10" s="18" t="s">
        <v>522</v>
      </c>
      <c r="C10" s="19">
        <v>12500</v>
      </c>
      <c r="D10" s="19">
        <v>25000</v>
      </c>
      <c r="E10" s="21"/>
    </row>
    <row r="11" spans="1:6" ht="30" x14ac:dyDescent="0.25">
      <c r="A11" s="18" t="s">
        <v>114</v>
      </c>
      <c r="B11" s="18" t="s">
        <v>522</v>
      </c>
      <c r="C11" s="19">
        <v>1640271</v>
      </c>
      <c r="D11" s="19">
        <v>1482048</v>
      </c>
      <c r="E11" s="22">
        <v>1499237</v>
      </c>
    </row>
    <row r="12" spans="1:6" ht="30" x14ac:dyDescent="0.25">
      <c r="A12" s="18" t="s">
        <v>115</v>
      </c>
      <c r="B12" s="18" t="s">
        <v>522</v>
      </c>
      <c r="C12" s="21"/>
      <c r="D12" s="22">
        <v>20000</v>
      </c>
      <c r="E12" s="22">
        <v>80000</v>
      </c>
      <c r="F12" s="1" t="s">
        <v>519</v>
      </c>
    </row>
    <row r="13" spans="1:6" ht="30" x14ac:dyDescent="0.25">
      <c r="A13" s="18" t="s">
        <v>116</v>
      </c>
      <c r="B13" s="18" t="s">
        <v>522</v>
      </c>
      <c r="C13" s="22">
        <v>20000</v>
      </c>
      <c r="D13" s="21"/>
      <c r="E13" s="20"/>
      <c r="F13" s="10">
        <f>SUM(C2:C167)</f>
        <v>30502131</v>
      </c>
    </row>
    <row r="14" spans="1:6" ht="30" x14ac:dyDescent="0.25">
      <c r="A14" s="18" t="s">
        <v>118</v>
      </c>
      <c r="B14" s="18" t="s">
        <v>522</v>
      </c>
      <c r="C14" s="21"/>
      <c r="D14" s="19">
        <v>30000</v>
      </c>
      <c r="E14" s="20"/>
      <c r="F14" s="1" t="s">
        <v>518</v>
      </c>
    </row>
    <row r="15" spans="1:6" ht="30" x14ac:dyDescent="0.25">
      <c r="A15" s="18" t="s">
        <v>120</v>
      </c>
      <c r="B15" s="18" t="s">
        <v>522</v>
      </c>
      <c r="C15" s="21"/>
      <c r="D15" s="19">
        <v>260000</v>
      </c>
      <c r="E15" s="19">
        <v>612000</v>
      </c>
      <c r="F15" s="10">
        <f>SUM(D2:D167)</f>
        <v>28510546</v>
      </c>
    </row>
    <row r="16" spans="1:6" ht="30" x14ac:dyDescent="0.25">
      <c r="A16" s="18" t="s">
        <v>6</v>
      </c>
      <c r="B16" s="18" t="s">
        <v>522</v>
      </c>
      <c r="C16" s="19">
        <v>0</v>
      </c>
      <c r="D16" s="21"/>
      <c r="E16" s="21"/>
      <c r="F16" s="1" t="s">
        <v>524</v>
      </c>
    </row>
    <row r="17" spans="1:6" ht="30" x14ac:dyDescent="0.25">
      <c r="A17" s="18" t="s">
        <v>7</v>
      </c>
      <c r="B17" s="18" t="s">
        <v>522</v>
      </c>
      <c r="C17" s="22">
        <v>253500</v>
      </c>
      <c r="D17" s="19">
        <v>225800</v>
      </c>
      <c r="E17" s="19">
        <v>199850</v>
      </c>
      <c r="F17" s="10">
        <f>SUM(E2:E167)</f>
        <v>27803195</v>
      </c>
    </row>
    <row r="18" spans="1:6" ht="30" x14ac:dyDescent="0.25">
      <c r="A18" s="18" t="s">
        <v>13</v>
      </c>
      <c r="B18" s="18" t="s">
        <v>522</v>
      </c>
      <c r="C18" s="19">
        <v>160000</v>
      </c>
      <c r="D18" s="19">
        <v>20000</v>
      </c>
      <c r="E18" s="20"/>
    </row>
    <row r="19" spans="1:6" ht="30" x14ac:dyDescent="0.25">
      <c r="A19" s="18" t="s">
        <v>14</v>
      </c>
      <c r="B19" s="18" t="s">
        <v>522</v>
      </c>
      <c r="C19" s="19">
        <v>63000</v>
      </c>
      <c r="D19" s="21"/>
      <c r="E19" s="21"/>
      <c r="F19" s="1" t="s">
        <v>525</v>
      </c>
    </row>
    <row r="20" spans="1:6" ht="30" x14ac:dyDescent="0.25">
      <c r="A20" s="18" t="s">
        <v>19</v>
      </c>
      <c r="B20" s="18" t="s">
        <v>522</v>
      </c>
      <c r="C20" s="19">
        <v>90000</v>
      </c>
      <c r="D20" s="21"/>
      <c r="E20" s="21"/>
      <c r="F20" s="10">
        <f>F17+F15+F13</f>
        <v>86815872</v>
      </c>
    </row>
    <row r="21" spans="1:6" ht="30" x14ac:dyDescent="0.25">
      <c r="A21" s="18" t="s">
        <v>20</v>
      </c>
      <c r="B21" s="18" t="s">
        <v>522</v>
      </c>
      <c r="C21" s="22">
        <v>30000</v>
      </c>
      <c r="D21" s="19">
        <v>45000</v>
      </c>
      <c r="E21" s="19">
        <v>50000</v>
      </c>
    </row>
    <row r="22" spans="1:6" ht="30" x14ac:dyDescent="0.25">
      <c r="A22" s="18" t="s">
        <v>21</v>
      </c>
      <c r="B22" s="18" t="s">
        <v>522</v>
      </c>
      <c r="C22" s="19">
        <v>60000</v>
      </c>
      <c r="D22" s="20"/>
      <c r="E22" s="20"/>
    </row>
    <row r="23" spans="1:6" ht="30" x14ac:dyDescent="0.25">
      <c r="A23" s="18" t="s">
        <v>26</v>
      </c>
      <c r="B23" s="18" t="s">
        <v>522</v>
      </c>
      <c r="C23" s="19">
        <v>40000</v>
      </c>
      <c r="D23" s="21"/>
      <c r="E23" s="21"/>
    </row>
    <row r="24" spans="1:6" ht="30" x14ac:dyDescent="0.25">
      <c r="A24" s="18" t="s">
        <v>27</v>
      </c>
      <c r="B24" s="18" t="s">
        <v>522</v>
      </c>
      <c r="C24" s="20"/>
      <c r="D24" s="19">
        <v>170000</v>
      </c>
      <c r="E24" s="20"/>
    </row>
    <row r="25" spans="1:6" ht="30" x14ac:dyDescent="0.25">
      <c r="A25" s="18" t="s">
        <v>31</v>
      </c>
      <c r="B25" s="18" t="s">
        <v>522</v>
      </c>
      <c r="C25" s="19">
        <v>4050000</v>
      </c>
      <c r="D25" s="22">
        <v>3431000</v>
      </c>
      <c r="E25" s="22">
        <v>2407000</v>
      </c>
    </row>
    <row r="26" spans="1:6" ht="30" x14ac:dyDescent="0.25">
      <c r="A26" s="18" t="s">
        <v>33</v>
      </c>
      <c r="B26" s="18" t="s">
        <v>522</v>
      </c>
      <c r="C26" s="22">
        <v>530000</v>
      </c>
      <c r="D26" s="19">
        <v>520000</v>
      </c>
      <c r="E26" s="19">
        <v>570000</v>
      </c>
    </row>
    <row r="27" spans="1:6" ht="30" x14ac:dyDescent="0.25">
      <c r="A27" s="18" t="s">
        <v>35</v>
      </c>
      <c r="B27" s="18" t="s">
        <v>522</v>
      </c>
      <c r="C27" s="21"/>
      <c r="D27" s="19">
        <v>80000</v>
      </c>
      <c r="E27" s="19">
        <v>30000</v>
      </c>
    </row>
    <row r="28" spans="1:6" ht="30" x14ac:dyDescent="0.25">
      <c r="A28" s="18" t="s">
        <v>36</v>
      </c>
      <c r="B28" s="18" t="s">
        <v>522</v>
      </c>
      <c r="C28" s="19">
        <v>0</v>
      </c>
      <c r="D28" s="19">
        <v>0</v>
      </c>
      <c r="E28" s="19">
        <v>0</v>
      </c>
    </row>
    <row r="29" spans="1:6" ht="30" x14ac:dyDescent="0.25">
      <c r="A29" s="18" t="s">
        <v>37</v>
      </c>
      <c r="B29" s="18" t="s">
        <v>522</v>
      </c>
      <c r="C29" s="19">
        <v>440000</v>
      </c>
      <c r="D29" s="19">
        <v>420000</v>
      </c>
      <c r="E29" s="19">
        <v>560000</v>
      </c>
    </row>
    <row r="30" spans="1:6" ht="30" x14ac:dyDescent="0.25">
      <c r="A30" s="18" t="s">
        <v>38</v>
      </c>
      <c r="B30" s="18" t="s">
        <v>522</v>
      </c>
      <c r="C30" s="19">
        <v>60000</v>
      </c>
      <c r="D30" s="19">
        <v>150000</v>
      </c>
      <c r="E30" s="21"/>
    </row>
    <row r="31" spans="1:6" ht="30" x14ac:dyDescent="0.25">
      <c r="A31" s="18" t="s">
        <v>40</v>
      </c>
      <c r="B31" s="18" t="s">
        <v>522</v>
      </c>
      <c r="C31" s="19">
        <v>20000</v>
      </c>
      <c r="D31" s="19">
        <v>10000</v>
      </c>
      <c r="E31" s="21"/>
    </row>
    <row r="32" spans="1:6" ht="30" x14ac:dyDescent="0.25">
      <c r="A32" s="18" t="s">
        <v>41</v>
      </c>
      <c r="B32" s="18" t="s">
        <v>522</v>
      </c>
      <c r="C32" s="19">
        <v>120000</v>
      </c>
      <c r="D32" s="19">
        <v>120000</v>
      </c>
      <c r="E32" s="19">
        <v>10000</v>
      </c>
    </row>
    <row r="33" spans="1:5" ht="30" x14ac:dyDescent="0.25">
      <c r="A33" s="18" t="s">
        <v>42</v>
      </c>
      <c r="B33" s="18" t="s">
        <v>522</v>
      </c>
      <c r="C33" s="19">
        <v>50000</v>
      </c>
      <c r="D33" s="22">
        <v>80000</v>
      </c>
      <c r="E33" s="22">
        <v>30000</v>
      </c>
    </row>
    <row r="34" spans="1:5" ht="30" x14ac:dyDescent="0.25">
      <c r="A34" s="18" t="s">
        <v>44</v>
      </c>
      <c r="B34" s="18" t="s">
        <v>522</v>
      </c>
      <c r="C34" s="19">
        <v>1890000</v>
      </c>
      <c r="D34" s="19">
        <v>1900000</v>
      </c>
      <c r="E34" s="19">
        <v>1600000</v>
      </c>
    </row>
    <row r="35" spans="1:5" ht="30" x14ac:dyDescent="0.25">
      <c r="A35" s="18" t="s">
        <v>163</v>
      </c>
      <c r="B35" s="18" t="s">
        <v>522</v>
      </c>
      <c r="C35" s="21"/>
      <c r="D35" s="19">
        <v>130000</v>
      </c>
      <c r="E35" s="22">
        <v>120000</v>
      </c>
    </row>
    <row r="36" spans="1:5" ht="30" x14ac:dyDescent="0.25">
      <c r="A36" s="18" t="s">
        <v>165</v>
      </c>
      <c r="B36" s="18" t="s">
        <v>522</v>
      </c>
      <c r="C36" s="19">
        <v>60000</v>
      </c>
      <c r="D36" s="19">
        <v>0</v>
      </c>
      <c r="E36" s="19">
        <v>0</v>
      </c>
    </row>
    <row r="37" spans="1:5" ht="30" x14ac:dyDescent="0.25">
      <c r="A37" s="18" t="s">
        <v>166</v>
      </c>
      <c r="B37" s="18" t="s">
        <v>522</v>
      </c>
      <c r="C37" s="19">
        <v>90000</v>
      </c>
      <c r="D37" s="19">
        <v>160000</v>
      </c>
      <c r="E37" s="19">
        <v>0</v>
      </c>
    </row>
    <row r="38" spans="1:5" ht="30" x14ac:dyDescent="0.25">
      <c r="A38" s="18" t="s">
        <v>167</v>
      </c>
      <c r="B38" s="18" t="s">
        <v>522</v>
      </c>
      <c r="C38" s="19">
        <v>362851</v>
      </c>
      <c r="D38" s="19">
        <v>355000</v>
      </c>
      <c r="E38" s="19">
        <v>350000</v>
      </c>
    </row>
    <row r="39" spans="1:5" ht="30" x14ac:dyDescent="0.25">
      <c r="A39" s="18" t="s">
        <v>170</v>
      </c>
      <c r="B39" s="18" t="s">
        <v>522</v>
      </c>
      <c r="C39" s="19">
        <v>200000</v>
      </c>
      <c r="D39" s="19">
        <v>50000</v>
      </c>
      <c r="E39" s="20"/>
    </row>
    <row r="40" spans="1:5" ht="30" x14ac:dyDescent="0.25">
      <c r="A40" s="18" t="s">
        <v>174</v>
      </c>
      <c r="B40" s="18" t="s">
        <v>522</v>
      </c>
      <c r="C40" s="19">
        <v>0</v>
      </c>
      <c r="D40" s="20"/>
      <c r="E40" s="20"/>
    </row>
    <row r="41" spans="1:5" ht="30" x14ac:dyDescent="0.25">
      <c r="A41" s="18" t="s">
        <v>175</v>
      </c>
      <c r="B41" s="18" t="s">
        <v>522</v>
      </c>
      <c r="C41" s="19">
        <v>200000</v>
      </c>
      <c r="D41" s="19">
        <v>160000</v>
      </c>
      <c r="E41" s="22">
        <v>0</v>
      </c>
    </row>
    <row r="42" spans="1:5" ht="30" x14ac:dyDescent="0.25">
      <c r="A42" s="18" t="s">
        <v>177</v>
      </c>
      <c r="B42" s="18" t="s">
        <v>522</v>
      </c>
      <c r="C42" s="19">
        <v>0</v>
      </c>
      <c r="D42" s="21"/>
      <c r="E42" s="21"/>
    </row>
    <row r="43" spans="1:5" ht="30" x14ac:dyDescent="0.25">
      <c r="A43" s="18" t="s">
        <v>178</v>
      </c>
      <c r="B43" s="18" t="s">
        <v>522</v>
      </c>
      <c r="C43" s="19">
        <v>80000</v>
      </c>
      <c r="D43" s="19">
        <v>80000</v>
      </c>
      <c r="E43" s="19">
        <v>60000</v>
      </c>
    </row>
    <row r="44" spans="1:5" ht="30" x14ac:dyDescent="0.25">
      <c r="A44" s="18" t="s">
        <v>180</v>
      </c>
      <c r="B44" s="18" t="s">
        <v>522</v>
      </c>
      <c r="C44" s="19">
        <v>30000</v>
      </c>
      <c r="D44" s="21"/>
      <c r="E44" s="21"/>
    </row>
    <row r="45" spans="1:5" ht="30" x14ac:dyDescent="0.25">
      <c r="A45" s="18" t="s">
        <v>181</v>
      </c>
      <c r="B45" s="18" t="s">
        <v>522</v>
      </c>
      <c r="C45" s="21"/>
      <c r="D45" s="22">
        <v>0</v>
      </c>
      <c r="E45" s="22">
        <v>30000</v>
      </c>
    </row>
    <row r="46" spans="1:5" ht="30" x14ac:dyDescent="0.25">
      <c r="A46" s="18" t="s">
        <v>183</v>
      </c>
      <c r="B46" s="18" t="s">
        <v>522</v>
      </c>
      <c r="C46" s="19">
        <v>40000</v>
      </c>
      <c r="D46" s="19">
        <v>40000</v>
      </c>
      <c r="E46" s="21"/>
    </row>
    <row r="47" spans="1:5" ht="30" x14ac:dyDescent="0.25">
      <c r="A47" s="18" t="s">
        <v>185</v>
      </c>
      <c r="B47" s="18" t="s">
        <v>522</v>
      </c>
      <c r="C47" s="19">
        <v>350000</v>
      </c>
      <c r="D47" s="22">
        <v>440000</v>
      </c>
      <c r="E47" s="22">
        <v>400000</v>
      </c>
    </row>
    <row r="48" spans="1:5" ht="30" x14ac:dyDescent="0.25">
      <c r="A48" s="18" t="s">
        <v>187</v>
      </c>
      <c r="B48" s="18" t="s">
        <v>522</v>
      </c>
      <c r="C48" s="19">
        <v>120000</v>
      </c>
      <c r="D48" s="19">
        <v>160000</v>
      </c>
      <c r="E48" s="19">
        <v>120000</v>
      </c>
    </row>
    <row r="49" spans="1:5" ht="30" x14ac:dyDescent="0.25">
      <c r="A49" s="18" t="s">
        <v>48</v>
      </c>
      <c r="B49" s="18" t="s">
        <v>522</v>
      </c>
      <c r="C49" s="19">
        <v>30000</v>
      </c>
      <c r="D49" s="19">
        <v>40000</v>
      </c>
      <c r="E49" s="19">
        <v>30000</v>
      </c>
    </row>
    <row r="50" spans="1:5" ht="30" x14ac:dyDescent="0.25">
      <c r="A50" s="18" t="s">
        <v>49</v>
      </c>
      <c r="B50" s="18" t="s">
        <v>522</v>
      </c>
      <c r="C50" s="19">
        <v>8000</v>
      </c>
      <c r="D50" s="19">
        <v>69000</v>
      </c>
      <c r="E50" s="19">
        <v>100000</v>
      </c>
    </row>
    <row r="51" spans="1:5" ht="30" x14ac:dyDescent="0.25">
      <c r="A51" s="18" t="s">
        <v>54</v>
      </c>
      <c r="B51" s="18" t="s">
        <v>522</v>
      </c>
      <c r="C51" s="19">
        <v>40000</v>
      </c>
      <c r="D51" s="22">
        <v>40000</v>
      </c>
      <c r="E51" s="22">
        <v>0</v>
      </c>
    </row>
    <row r="52" spans="1:5" ht="30" x14ac:dyDescent="0.25">
      <c r="A52" s="18" t="s">
        <v>55</v>
      </c>
      <c r="B52" s="18" t="s">
        <v>522</v>
      </c>
      <c r="C52" s="22">
        <v>240000</v>
      </c>
      <c r="D52" s="19">
        <v>240000</v>
      </c>
      <c r="E52" s="22">
        <v>240000</v>
      </c>
    </row>
    <row r="53" spans="1:5" ht="30" x14ac:dyDescent="0.25">
      <c r="A53" s="18" t="s">
        <v>56</v>
      </c>
      <c r="B53" s="18" t="s">
        <v>522</v>
      </c>
      <c r="C53" s="21"/>
      <c r="D53" s="22">
        <v>30000</v>
      </c>
      <c r="E53" s="22">
        <v>50000</v>
      </c>
    </row>
    <row r="54" spans="1:5" ht="30" x14ac:dyDescent="0.25">
      <c r="A54" s="18" t="s">
        <v>58</v>
      </c>
      <c r="B54" s="18" t="s">
        <v>522</v>
      </c>
      <c r="C54" s="19">
        <v>0</v>
      </c>
      <c r="D54" s="21"/>
      <c r="E54" s="21"/>
    </row>
    <row r="55" spans="1:5" ht="30" x14ac:dyDescent="0.25">
      <c r="A55" s="18" t="s">
        <v>59</v>
      </c>
      <c r="B55" s="18" t="s">
        <v>522</v>
      </c>
      <c r="C55" s="19">
        <v>1077127</v>
      </c>
      <c r="D55" s="19">
        <v>990000</v>
      </c>
      <c r="E55" s="19">
        <v>1090000</v>
      </c>
    </row>
    <row r="56" spans="1:5" ht="30" x14ac:dyDescent="0.25">
      <c r="A56" s="18" t="s">
        <v>61</v>
      </c>
      <c r="B56" s="18" t="s">
        <v>522</v>
      </c>
      <c r="C56" s="19">
        <v>70000</v>
      </c>
      <c r="D56" s="19">
        <v>120000</v>
      </c>
      <c r="E56" s="19">
        <v>0</v>
      </c>
    </row>
    <row r="57" spans="1:5" ht="30" x14ac:dyDescent="0.25">
      <c r="A57" s="18" t="s">
        <v>64</v>
      </c>
      <c r="B57" s="18" t="s">
        <v>522</v>
      </c>
      <c r="C57" s="19">
        <v>140000</v>
      </c>
      <c r="D57" s="21"/>
      <c r="E57" s="21"/>
    </row>
    <row r="58" spans="1:5" ht="30" x14ac:dyDescent="0.25">
      <c r="A58" s="18" t="s">
        <v>65</v>
      </c>
      <c r="B58" s="18" t="s">
        <v>522</v>
      </c>
      <c r="C58" s="19">
        <v>40000</v>
      </c>
      <c r="D58" s="19">
        <v>35000</v>
      </c>
      <c r="E58" s="21"/>
    </row>
    <row r="59" spans="1:5" ht="30" x14ac:dyDescent="0.25">
      <c r="A59" s="18" t="s">
        <v>66</v>
      </c>
      <c r="B59" s="18" t="s">
        <v>522</v>
      </c>
      <c r="C59" s="22">
        <v>0</v>
      </c>
      <c r="D59" s="21"/>
      <c r="E59" s="21"/>
    </row>
    <row r="60" spans="1:5" ht="30" x14ac:dyDescent="0.25">
      <c r="A60" s="18" t="s">
        <v>68</v>
      </c>
      <c r="B60" s="18" t="s">
        <v>522</v>
      </c>
      <c r="C60" s="21"/>
      <c r="D60" s="19">
        <v>150000</v>
      </c>
      <c r="E60" s="19">
        <v>0</v>
      </c>
    </row>
    <row r="61" spans="1:5" ht="30" x14ac:dyDescent="0.25">
      <c r="A61" s="18" t="s">
        <v>69</v>
      </c>
      <c r="B61" s="18" t="s">
        <v>522</v>
      </c>
      <c r="C61" s="19">
        <v>80000</v>
      </c>
      <c r="D61" s="21"/>
      <c r="E61" s="21"/>
    </row>
    <row r="62" spans="1:5" ht="30" x14ac:dyDescent="0.25">
      <c r="A62" s="18" t="s">
        <v>72</v>
      </c>
      <c r="B62" s="18" t="s">
        <v>522</v>
      </c>
      <c r="C62" s="19">
        <v>0</v>
      </c>
      <c r="D62" s="19">
        <v>0</v>
      </c>
      <c r="E62" s="22">
        <v>0</v>
      </c>
    </row>
    <row r="63" spans="1:5" ht="30" x14ac:dyDescent="0.25">
      <c r="A63" s="18" t="s">
        <v>73</v>
      </c>
      <c r="B63" s="18" t="s">
        <v>522</v>
      </c>
      <c r="C63" s="19">
        <v>30000</v>
      </c>
      <c r="D63" s="29"/>
      <c r="E63" s="21"/>
    </row>
    <row r="64" spans="1:5" ht="30" x14ac:dyDescent="0.25">
      <c r="A64" s="18" t="s">
        <v>74</v>
      </c>
      <c r="B64" s="18" t="s">
        <v>522</v>
      </c>
      <c r="C64" s="19">
        <v>0</v>
      </c>
      <c r="D64" s="21"/>
      <c r="E64" s="29"/>
    </row>
    <row r="65" spans="1:5" ht="30" x14ac:dyDescent="0.25">
      <c r="A65" s="18" t="s">
        <v>75</v>
      </c>
      <c r="B65" s="18" t="s">
        <v>522</v>
      </c>
      <c r="C65" s="19">
        <v>230000</v>
      </c>
      <c r="D65" s="19">
        <v>120000</v>
      </c>
      <c r="E65" s="19">
        <v>80000</v>
      </c>
    </row>
    <row r="66" spans="1:5" ht="30" x14ac:dyDescent="0.25">
      <c r="A66" s="18" t="s">
        <v>77</v>
      </c>
      <c r="B66" s="18" t="s">
        <v>522</v>
      </c>
      <c r="C66" s="19">
        <v>0</v>
      </c>
      <c r="D66" s="21"/>
      <c r="E66" s="21"/>
    </row>
    <row r="67" spans="1:5" ht="30" x14ac:dyDescent="0.25">
      <c r="A67" s="18" t="s">
        <v>79</v>
      </c>
      <c r="B67" s="18" t="s">
        <v>522</v>
      </c>
      <c r="C67" s="19">
        <v>50000</v>
      </c>
      <c r="D67" s="19">
        <v>130000</v>
      </c>
      <c r="E67" s="19">
        <v>130000</v>
      </c>
    </row>
    <row r="68" spans="1:5" ht="30" x14ac:dyDescent="0.25">
      <c r="A68" s="18" t="s">
        <v>81</v>
      </c>
      <c r="B68" s="18" t="s">
        <v>522</v>
      </c>
      <c r="C68" s="19">
        <v>10000</v>
      </c>
      <c r="D68" s="21"/>
      <c r="E68" s="29"/>
    </row>
    <row r="69" spans="1:5" ht="30" x14ac:dyDescent="0.25">
      <c r="A69" s="18" t="s">
        <v>82</v>
      </c>
      <c r="B69" s="18" t="s">
        <v>522</v>
      </c>
      <c r="C69" s="19">
        <v>30000</v>
      </c>
      <c r="D69" s="19">
        <v>110000</v>
      </c>
      <c r="E69" s="19">
        <v>10000</v>
      </c>
    </row>
    <row r="70" spans="1:5" ht="30" x14ac:dyDescent="0.25">
      <c r="A70" s="18" t="s">
        <v>83</v>
      </c>
      <c r="B70" s="18" t="s">
        <v>522</v>
      </c>
      <c r="C70" s="19">
        <v>220000</v>
      </c>
      <c r="D70" s="19">
        <v>220000</v>
      </c>
      <c r="E70" s="19">
        <v>120000</v>
      </c>
    </row>
    <row r="71" spans="1:5" ht="30" x14ac:dyDescent="0.25">
      <c r="A71" s="18" t="s">
        <v>85</v>
      </c>
      <c r="B71" s="18" t="s">
        <v>522</v>
      </c>
      <c r="C71" s="21"/>
      <c r="D71" s="19">
        <v>10000</v>
      </c>
      <c r="E71" s="29"/>
    </row>
    <row r="72" spans="1:5" ht="30" x14ac:dyDescent="0.25">
      <c r="A72" s="18" t="s">
        <v>88</v>
      </c>
      <c r="B72" s="18" t="s">
        <v>522</v>
      </c>
      <c r="C72" s="19">
        <v>190000</v>
      </c>
      <c r="D72" s="19">
        <v>200000</v>
      </c>
      <c r="E72" s="19">
        <v>200000</v>
      </c>
    </row>
    <row r="73" spans="1:5" ht="30" x14ac:dyDescent="0.25">
      <c r="A73" s="18" t="s">
        <v>89</v>
      </c>
      <c r="B73" s="18" t="s">
        <v>522</v>
      </c>
      <c r="C73" s="22">
        <v>270000</v>
      </c>
      <c r="D73" s="19">
        <v>240000</v>
      </c>
      <c r="E73" s="19">
        <v>280000</v>
      </c>
    </row>
    <row r="74" spans="1:5" ht="30" x14ac:dyDescent="0.25">
      <c r="A74" s="18" t="s">
        <v>90</v>
      </c>
      <c r="B74" s="18" t="s">
        <v>522</v>
      </c>
      <c r="C74" s="19">
        <v>20000</v>
      </c>
      <c r="D74" s="19">
        <v>0</v>
      </c>
      <c r="E74" s="21"/>
    </row>
    <row r="75" spans="1:5" ht="30" x14ac:dyDescent="0.25">
      <c r="A75" s="18" t="s">
        <v>705</v>
      </c>
      <c r="B75" s="18" t="s">
        <v>522</v>
      </c>
      <c r="C75" s="19">
        <v>290000</v>
      </c>
      <c r="D75" s="19">
        <v>280000</v>
      </c>
      <c r="E75" s="19">
        <v>280000</v>
      </c>
    </row>
    <row r="76" spans="1:5" ht="30" x14ac:dyDescent="0.25">
      <c r="A76" s="18" t="s">
        <v>92</v>
      </c>
      <c r="B76" s="18" t="s">
        <v>522</v>
      </c>
      <c r="C76" s="19">
        <v>60000</v>
      </c>
      <c r="D76" s="19">
        <v>160000</v>
      </c>
      <c r="E76" s="19">
        <v>240000</v>
      </c>
    </row>
    <row r="77" spans="1:5" ht="30" x14ac:dyDescent="0.25">
      <c r="A77" s="18" t="s">
        <v>238</v>
      </c>
      <c r="B77" s="18" t="s">
        <v>522</v>
      </c>
      <c r="C77" s="19">
        <v>230000</v>
      </c>
      <c r="D77" s="19">
        <v>80000</v>
      </c>
      <c r="E77" s="19">
        <v>260000</v>
      </c>
    </row>
    <row r="78" spans="1:5" ht="30" x14ac:dyDescent="0.25">
      <c r="A78" s="18" t="s">
        <v>240</v>
      </c>
      <c r="B78" s="18" t="s">
        <v>522</v>
      </c>
      <c r="C78" s="19">
        <v>80000</v>
      </c>
      <c r="D78" s="21"/>
      <c r="E78" s="21"/>
    </row>
    <row r="79" spans="1:5" ht="30" x14ac:dyDescent="0.25">
      <c r="A79" s="18" t="s">
        <v>243</v>
      </c>
      <c r="B79" s="18" t="s">
        <v>522</v>
      </c>
      <c r="C79" s="21"/>
      <c r="D79" s="19">
        <v>10000</v>
      </c>
      <c r="E79" s="22">
        <v>170000</v>
      </c>
    </row>
    <row r="80" spans="1:5" ht="30" x14ac:dyDescent="0.25">
      <c r="A80" s="18" t="s">
        <v>244</v>
      </c>
      <c r="B80" s="18" t="s">
        <v>522</v>
      </c>
      <c r="C80" s="19">
        <v>0</v>
      </c>
      <c r="D80" s="19">
        <v>0</v>
      </c>
      <c r="E80" s="29"/>
    </row>
    <row r="81" spans="1:6" ht="30" x14ac:dyDescent="0.25">
      <c r="A81" s="18" t="s">
        <v>245</v>
      </c>
      <c r="B81" s="18" t="s">
        <v>522</v>
      </c>
      <c r="C81" s="19">
        <v>200000</v>
      </c>
      <c r="D81" s="19">
        <v>250000</v>
      </c>
      <c r="E81" s="19">
        <v>312000</v>
      </c>
    </row>
    <row r="82" spans="1:6" ht="30" x14ac:dyDescent="0.25">
      <c r="A82" s="18" t="s">
        <v>247</v>
      </c>
      <c r="B82" s="18" t="s">
        <v>522</v>
      </c>
      <c r="C82" s="19">
        <v>0</v>
      </c>
      <c r="D82" s="22">
        <v>0</v>
      </c>
      <c r="E82" s="22">
        <v>0</v>
      </c>
    </row>
    <row r="83" spans="1:6" ht="30" x14ac:dyDescent="0.25">
      <c r="A83" s="18" t="s">
        <v>249</v>
      </c>
      <c r="B83" s="18" t="s">
        <v>522</v>
      </c>
      <c r="C83" s="21"/>
      <c r="D83" s="22">
        <v>20000</v>
      </c>
      <c r="E83" s="19">
        <v>190000</v>
      </c>
    </row>
    <row r="84" spans="1:6" ht="30" x14ac:dyDescent="0.25">
      <c r="A84" s="18" t="s">
        <v>250</v>
      </c>
      <c r="B84" s="18" t="s">
        <v>522</v>
      </c>
      <c r="C84" s="19">
        <v>110000</v>
      </c>
      <c r="D84" s="22">
        <v>245000</v>
      </c>
      <c r="E84" s="22">
        <v>470000</v>
      </c>
    </row>
    <row r="85" spans="1:6" ht="30" x14ac:dyDescent="0.25">
      <c r="A85" s="18" t="s">
        <v>251</v>
      </c>
      <c r="B85" s="18" t="s">
        <v>522</v>
      </c>
      <c r="C85" s="19">
        <v>1161250</v>
      </c>
      <c r="D85" s="19">
        <v>970000</v>
      </c>
      <c r="E85" s="19">
        <v>1052000</v>
      </c>
    </row>
    <row r="86" spans="1:6" ht="30" x14ac:dyDescent="0.25">
      <c r="A86" s="18" t="s">
        <v>252</v>
      </c>
      <c r="B86" s="18" t="s">
        <v>522</v>
      </c>
      <c r="C86" s="19">
        <v>318000</v>
      </c>
      <c r="D86" s="19">
        <v>60000</v>
      </c>
      <c r="E86" s="20"/>
    </row>
    <row r="87" spans="1:6" ht="30" x14ac:dyDescent="0.25">
      <c r="A87" s="18" t="s">
        <v>254</v>
      </c>
      <c r="B87" s="18" t="s">
        <v>522</v>
      </c>
      <c r="C87" s="19">
        <v>50000</v>
      </c>
      <c r="D87" s="29"/>
      <c r="E87" s="29"/>
    </row>
    <row r="88" spans="1:6" ht="30" x14ac:dyDescent="0.25">
      <c r="A88" s="18" t="s">
        <v>255</v>
      </c>
      <c r="B88" s="18" t="s">
        <v>522</v>
      </c>
      <c r="C88" s="19">
        <v>10000</v>
      </c>
      <c r="D88" s="19">
        <v>0</v>
      </c>
      <c r="E88" s="21"/>
    </row>
    <row r="89" spans="1:6" ht="30" x14ac:dyDescent="0.25">
      <c r="A89" s="18" t="s">
        <v>256</v>
      </c>
      <c r="B89" s="18" t="s">
        <v>522</v>
      </c>
      <c r="C89" s="22">
        <v>410000</v>
      </c>
      <c r="D89" s="19">
        <v>360000</v>
      </c>
      <c r="E89" s="19">
        <v>325000</v>
      </c>
    </row>
    <row r="90" spans="1:6" ht="30" x14ac:dyDescent="0.25">
      <c r="A90" s="18" t="s">
        <v>259</v>
      </c>
      <c r="B90" s="18" t="s">
        <v>522</v>
      </c>
      <c r="C90" s="19">
        <v>130000</v>
      </c>
      <c r="D90" s="22">
        <v>80000</v>
      </c>
      <c r="E90" s="29"/>
    </row>
    <row r="91" spans="1:6" ht="30" x14ac:dyDescent="0.25">
      <c r="A91" s="18" t="s">
        <v>262</v>
      </c>
      <c r="B91" s="18" t="s">
        <v>522</v>
      </c>
      <c r="C91" s="22">
        <v>0</v>
      </c>
      <c r="D91" s="21"/>
      <c r="E91" s="21"/>
      <c r="F91" s="10"/>
    </row>
    <row r="92" spans="1:6" ht="30" x14ac:dyDescent="0.25">
      <c r="A92" s="18" t="s">
        <v>263</v>
      </c>
      <c r="B92" s="18" t="s">
        <v>522</v>
      </c>
      <c r="C92" s="22">
        <v>70000</v>
      </c>
      <c r="D92" s="19">
        <v>70000</v>
      </c>
      <c r="E92" s="19">
        <v>40000</v>
      </c>
    </row>
    <row r="93" spans="1:6" ht="30" x14ac:dyDescent="0.25">
      <c r="A93" s="18" t="s">
        <v>264</v>
      </c>
      <c r="B93" s="18" t="s">
        <v>522</v>
      </c>
      <c r="C93" s="19">
        <v>0</v>
      </c>
      <c r="D93" s="21"/>
      <c r="E93" s="29"/>
    </row>
    <row r="94" spans="1:6" ht="30" x14ac:dyDescent="0.25">
      <c r="A94" s="18" t="s">
        <v>265</v>
      </c>
      <c r="B94" s="18" t="s">
        <v>522</v>
      </c>
      <c r="C94" s="19">
        <v>80000</v>
      </c>
      <c r="D94" s="19">
        <v>100000</v>
      </c>
      <c r="E94" s="21"/>
      <c r="F94" s="1"/>
    </row>
    <row r="95" spans="1:6" ht="30" x14ac:dyDescent="0.25">
      <c r="A95" s="18" t="s">
        <v>266</v>
      </c>
      <c r="B95" s="18" t="s">
        <v>522</v>
      </c>
      <c r="C95" s="19">
        <v>35000</v>
      </c>
      <c r="D95" s="19">
        <v>40000</v>
      </c>
      <c r="E95" s="19">
        <v>40000</v>
      </c>
      <c r="F95" s="10"/>
    </row>
    <row r="96" spans="1:6" ht="30" x14ac:dyDescent="0.25">
      <c r="A96" s="18" t="s">
        <v>122</v>
      </c>
      <c r="B96" s="18" t="s">
        <v>522</v>
      </c>
      <c r="C96" s="19">
        <v>10000</v>
      </c>
      <c r="D96" s="19">
        <v>0</v>
      </c>
      <c r="E96" s="19">
        <v>0</v>
      </c>
    </row>
    <row r="97" spans="1:5" ht="30" x14ac:dyDescent="0.25">
      <c r="A97" s="18" t="s">
        <v>123</v>
      </c>
      <c r="B97" s="18" t="s">
        <v>522</v>
      </c>
      <c r="C97" s="19">
        <v>175000</v>
      </c>
      <c r="D97" s="19">
        <v>180000</v>
      </c>
      <c r="E97" s="19">
        <v>96000</v>
      </c>
    </row>
    <row r="98" spans="1:5" ht="30" x14ac:dyDescent="0.25">
      <c r="A98" s="18" t="s">
        <v>125</v>
      </c>
      <c r="B98" s="18" t="s">
        <v>522</v>
      </c>
      <c r="C98" s="19">
        <v>90000</v>
      </c>
      <c r="D98" s="19">
        <v>195000</v>
      </c>
      <c r="E98" s="19">
        <v>210000</v>
      </c>
    </row>
    <row r="99" spans="1:5" ht="30" x14ac:dyDescent="0.25">
      <c r="A99" s="18" t="s">
        <v>126</v>
      </c>
      <c r="B99" s="18" t="s">
        <v>522</v>
      </c>
      <c r="C99" s="19">
        <v>360000</v>
      </c>
      <c r="D99" s="19">
        <v>360000</v>
      </c>
      <c r="E99" s="19">
        <v>360000</v>
      </c>
    </row>
    <row r="100" spans="1:5" ht="30" x14ac:dyDescent="0.25">
      <c r="A100" s="18" t="s">
        <v>127</v>
      </c>
      <c r="B100" s="18" t="s">
        <v>522</v>
      </c>
      <c r="C100" s="19">
        <v>140000</v>
      </c>
      <c r="D100" s="19">
        <v>160000</v>
      </c>
      <c r="E100" s="19">
        <v>120000</v>
      </c>
    </row>
    <row r="101" spans="1:5" ht="30" x14ac:dyDescent="0.25">
      <c r="A101" s="18" t="s">
        <v>131</v>
      </c>
      <c r="B101" s="18" t="s">
        <v>522</v>
      </c>
      <c r="C101" s="19">
        <v>0</v>
      </c>
      <c r="D101" s="19">
        <v>0</v>
      </c>
      <c r="E101" s="19">
        <v>0</v>
      </c>
    </row>
    <row r="102" spans="1:5" ht="30" x14ac:dyDescent="0.25">
      <c r="A102" s="18" t="s">
        <v>132</v>
      </c>
      <c r="B102" s="18" t="s">
        <v>522</v>
      </c>
      <c r="C102" s="19">
        <v>160000</v>
      </c>
      <c r="D102" s="22">
        <v>160000</v>
      </c>
      <c r="E102" s="22">
        <v>160000</v>
      </c>
    </row>
    <row r="103" spans="1:5" ht="30" x14ac:dyDescent="0.25">
      <c r="A103" s="18" t="s">
        <v>133</v>
      </c>
      <c r="B103" s="18" t="s">
        <v>522</v>
      </c>
      <c r="C103" s="19">
        <v>4194000</v>
      </c>
      <c r="D103" s="22">
        <v>4069018</v>
      </c>
      <c r="E103" s="22">
        <v>4886673</v>
      </c>
    </row>
    <row r="104" spans="1:5" ht="30" x14ac:dyDescent="0.25">
      <c r="A104" s="18" t="s">
        <v>134</v>
      </c>
      <c r="B104" s="18" t="s">
        <v>522</v>
      </c>
      <c r="C104" s="19">
        <v>180000</v>
      </c>
      <c r="D104" s="19">
        <v>160000</v>
      </c>
      <c r="E104" s="22">
        <v>190000</v>
      </c>
    </row>
    <row r="105" spans="1:5" ht="30" x14ac:dyDescent="0.25">
      <c r="A105" s="18" t="s">
        <v>136</v>
      </c>
      <c r="B105" s="18" t="s">
        <v>522</v>
      </c>
      <c r="C105" s="21"/>
      <c r="D105" s="19">
        <v>90000</v>
      </c>
      <c r="E105" s="19">
        <v>130000</v>
      </c>
    </row>
    <row r="106" spans="1:5" ht="30" x14ac:dyDescent="0.25">
      <c r="A106" s="18" t="s">
        <v>142</v>
      </c>
      <c r="B106" s="18" t="s">
        <v>522</v>
      </c>
      <c r="C106" s="19">
        <v>60000</v>
      </c>
      <c r="D106" s="19">
        <v>65000</v>
      </c>
      <c r="E106" s="19">
        <v>80000</v>
      </c>
    </row>
    <row r="107" spans="1:5" ht="30" x14ac:dyDescent="0.25">
      <c r="A107" s="18" t="s">
        <v>143</v>
      </c>
      <c r="B107" s="18" t="s">
        <v>522</v>
      </c>
      <c r="C107" s="19">
        <v>80000</v>
      </c>
      <c r="D107" s="19">
        <v>0</v>
      </c>
      <c r="E107" s="19">
        <v>80000</v>
      </c>
    </row>
    <row r="108" spans="1:5" ht="30" x14ac:dyDescent="0.25">
      <c r="A108" s="18" t="s">
        <v>145</v>
      </c>
      <c r="B108" s="18" t="s">
        <v>522</v>
      </c>
      <c r="C108" s="22">
        <v>35000</v>
      </c>
      <c r="D108" s="21"/>
      <c r="E108" s="21"/>
    </row>
    <row r="109" spans="1:5" ht="30" x14ac:dyDescent="0.25">
      <c r="A109" s="18" t="s">
        <v>148</v>
      </c>
      <c r="B109" s="18" t="s">
        <v>522</v>
      </c>
      <c r="C109" s="19">
        <v>0</v>
      </c>
      <c r="D109" s="22">
        <v>0</v>
      </c>
      <c r="E109" s="20"/>
    </row>
    <row r="110" spans="1:5" ht="30" x14ac:dyDescent="0.25">
      <c r="A110" s="18" t="s">
        <v>154</v>
      </c>
      <c r="B110" s="18" t="s">
        <v>522</v>
      </c>
      <c r="C110" s="19">
        <v>70000</v>
      </c>
      <c r="D110" s="22">
        <v>60000</v>
      </c>
      <c r="E110" s="22">
        <v>90000</v>
      </c>
    </row>
    <row r="111" spans="1:5" ht="30" x14ac:dyDescent="0.25">
      <c r="A111" s="18" t="s">
        <v>156</v>
      </c>
      <c r="B111" s="18" t="s">
        <v>522</v>
      </c>
      <c r="C111" s="19">
        <v>50000</v>
      </c>
      <c r="D111" s="19">
        <v>50000</v>
      </c>
      <c r="E111" s="19">
        <v>70000</v>
      </c>
    </row>
    <row r="112" spans="1:5" ht="30" x14ac:dyDescent="0.25">
      <c r="A112" s="18" t="s">
        <v>157</v>
      </c>
      <c r="B112" s="18" t="s">
        <v>522</v>
      </c>
      <c r="C112" s="19">
        <v>0</v>
      </c>
      <c r="D112" s="19">
        <v>10000</v>
      </c>
      <c r="E112" s="19">
        <v>0</v>
      </c>
    </row>
    <row r="113" spans="1:5" ht="30" x14ac:dyDescent="0.25">
      <c r="A113" s="18" t="s">
        <v>158</v>
      </c>
      <c r="B113" s="18" t="s">
        <v>522</v>
      </c>
      <c r="C113" s="19">
        <v>126000</v>
      </c>
      <c r="D113" s="19">
        <v>265642</v>
      </c>
      <c r="E113" s="19">
        <v>126274</v>
      </c>
    </row>
    <row r="114" spans="1:5" ht="30" x14ac:dyDescent="0.25">
      <c r="A114" s="18" t="s">
        <v>332</v>
      </c>
      <c r="B114" s="18" t="s">
        <v>522</v>
      </c>
      <c r="C114" s="19">
        <v>90000</v>
      </c>
      <c r="D114" s="21"/>
      <c r="E114" s="21"/>
    </row>
    <row r="115" spans="1:5" ht="30" x14ac:dyDescent="0.25">
      <c r="A115" s="18" t="s">
        <v>334</v>
      </c>
      <c r="B115" s="18" t="s">
        <v>522</v>
      </c>
      <c r="C115" s="19">
        <v>368500</v>
      </c>
      <c r="D115" s="19">
        <v>251500</v>
      </c>
      <c r="E115" s="19">
        <v>120972</v>
      </c>
    </row>
    <row r="116" spans="1:5" ht="30" x14ac:dyDescent="0.25">
      <c r="A116" s="18" t="s">
        <v>336</v>
      </c>
      <c r="B116" s="18" t="s">
        <v>522</v>
      </c>
      <c r="C116" s="19">
        <v>80000</v>
      </c>
      <c r="D116" s="22">
        <v>40000</v>
      </c>
      <c r="E116" s="22">
        <v>40000</v>
      </c>
    </row>
    <row r="117" spans="1:5" ht="30" x14ac:dyDescent="0.25">
      <c r="A117" s="18" t="s">
        <v>337</v>
      </c>
      <c r="B117" s="18" t="s">
        <v>522</v>
      </c>
      <c r="C117" s="19">
        <v>200000</v>
      </c>
      <c r="D117" s="19">
        <v>90000</v>
      </c>
      <c r="E117" s="20"/>
    </row>
    <row r="118" spans="1:5" ht="30" x14ac:dyDescent="0.25">
      <c r="A118" s="18" t="s">
        <v>339</v>
      </c>
      <c r="B118" s="18" t="s">
        <v>522</v>
      </c>
      <c r="C118" s="19">
        <v>40000</v>
      </c>
      <c r="D118" s="22">
        <v>40000</v>
      </c>
      <c r="E118" s="22">
        <v>40000</v>
      </c>
    </row>
    <row r="119" spans="1:5" ht="30" x14ac:dyDescent="0.25">
      <c r="A119" s="18" t="s">
        <v>341</v>
      </c>
      <c r="B119" s="18" t="s">
        <v>522</v>
      </c>
      <c r="C119" s="19">
        <v>20000</v>
      </c>
      <c r="D119" s="22">
        <v>10000</v>
      </c>
      <c r="E119" s="29"/>
    </row>
    <row r="120" spans="1:5" ht="30" x14ac:dyDescent="0.25">
      <c r="A120" s="18" t="s">
        <v>342</v>
      </c>
      <c r="B120" s="18" t="s">
        <v>522</v>
      </c>
      <c r="C120" s="22">
        <v>0</v>
      </c>
      <c r="D120" s="19">
        <v>150000</v>
      </c>
      <c r="E120" s="19">
        <v>90000</v>
      </c>
    </row>
    <row r="121" spans="1:5" ht="30" x14ac:dyDescent="0.25">
      <c r="A121" s="18" t="s">
        <v>343</v>
      </c>
      <c r="B121" s="18" t="s">
        <v>522</v>
      </c>
      <c r="C121" s="19">
        <v>0</v>
      </c>
      <c r="D121" s="20"/>
      <c r="E121" s="20"/>
    </row>
    <row r="122" spans="1:5" ht="30" x14ac:dyDescent="0.25">
      <c r="A122" s="18" t="s">
        <v>344</v>
      </c>
      <c r="B122" s="18" t="s">
        <v>522</v>
      </c>
      <c r="C122" s="19">
        <v>95000</v>
      </c>
      <c r="D122" s="22">
        <v>72000</v>
      </c>
      <c r="E122" s="22">
        <v>0</v>
      </c>
    </row>
    <row r="123" spans="1:5" ht="30" x14ac:dyDescent="0.25">
      <c r="A123" s="18" t="s">
        <v>349</v>
      </c>
      <c r="B123" s="18" t="s">
        <v>522</v>
      </c>
      <c r="C123" s="19">
        <v>590000</v>
      </c>
      <c r="D123" s="19">
        <v>400000</v>
      </c>
      <c r="E123" s="19">
        <v>420000</v>
      </c>
    </row>
    <row r="124" spans="1:5" ht="30" x14ac:dyDescent="0.25">
      <c r="A124" s="18" t="s">
        <v>353</v>
      </c>
      <c r="B124" s="18" t="s">
        <v>522</v>
      </c>
      <c r="C124" s="19">
        <v>325000</v>
      </c>
      <c r="D124" s="19">
        <v>206000</v>
      </c>
      <c r="E124" s="21"/>
    </row>
    <row r="125" spans="1:5" ht="30" x14ac:dyDescent="0.25">
      <c r="A125" s="18" t="s">
        <v>354</v>
      </c>
      <c r="B125" s="18" t="s">
        <v>522</v>
      </c>
      <c r="C125" s="19">
        <v>40000</v>
      </c>
      <c r="D125" s="22">
        <v>120000</v>
      </c>
      <c r="E125" s="22">
        <v>120000</v>
      </c>
    </row>
    <row r="126" spans="1:5" ht="30" x14ac:dyDescent="0.25">
      <c r="A126" s="18" t="s">
        <v>355</v>
      </c>
      <c r="B126" s="18" t="s">
        <v>522</v>
      </c>
      <c r="C126" s="19">
        <v>0</v>
      </c>
      <c r="D126" s="22">
        <v>0</v>
      </c>
      <c r="E126" s="22">
        <v>0</v>
      </c>
    </row>
    <row r="127" spans="1:5" ht="30" x14ac:dyDescent="0.25">
      <c r="A127" s="18" t="s">
        <v>191</v>
      </c>
      <c r="B127" s="18" t="s">
        <v>522</v>
      </c>
      <c r="C127" s="19">
        <v>24000</v>
      </c>
      <c r="D127" s="19">
        <v>12000</v>
      </c>
      <c r="E127" s="21"/>
    </row>
    <row r="128" spans="1:5" ht="30" x14ac:dyDescent="0.25">
      <c r="A128" s="18" t="s">
        <v>192</v>
      </c>
      <c r="B128" s="18" t="s">
        <v>522</v>
      </c>
      <c r="C128" s="19">
        <v>118848</v>
      </c>
      <c r="D128" s="29"/>
      <c r="E128" s="29"/>
    </row>
    <row r="129" spans="1:5" ht="30" x14ac:dyDescent="0.25">
      <c r="A129" s="18" t="s">
        <v>194</v>
      </c>
      <c r="B129" s="18" t="s">
        <v>522</v>
      </c>
      <c r="C129" s="19">
        <v>220000</v>
      </c>
      <c r="D129" s="19">
        <v>315000</v>
      </c>
      <c r="E129" s="19">
        <v>290000</v>
      </c>
    </row>
    <row r="130" spans="1:5" ht="30" x14ac:dyDescent="0.25">
      <c r="A130" s="18" t="s">
        <v>195</v>
      </c>
      <c r="B130" s="18" t="s">
        <v>522</v>
      </c>
      <c r="C130" s="19">
        <v>240000</v>
      </c>
      <c r="D130" s="19">
        <v>180000</v>
      </c>
      <c r="E130" s="21"/>
    </row>
    <row r="131" spans="1:5" ht="30" x14ac:dyDescent="0.25">
      <c r="A131" s="18" t="s">
        <v>200</v>
      </c>
      <c r="B131" s="18" t="s">
        <v>522</v>
      </c>
      <c r="C131" s="19">
        <v>10000</v>
      </c>
      <c r="D131" s="19">
        <v>110000</v>
      </c>
      <c r="E131" s="19">
        <v>10000</v>
      </c>
    </row>
    <row r="132" spans="1:5" ht="30" x14ac:dyDescent="0.25">
      <c r="A132" s="18" t="s">
        <v>203</v>
      </c>
      <c r="B132" s="18" t="s">
        <v>522</v>
      </c>
      <c r="C132" s="19">
        <v>30000</v>
      </c>
      <c r="D132" s="19">
        <v>80000</v>
      </c>
      <c r="E132" s="22">
        <v>30000</v>
      </c>
    </row>
    <row r="133" spans="1:5" ht="30" x14ac:dyDescent="0.25">
      <c r="A133" s="18" t="s">
        <v>204</v>
      </c>
      <c r="B133" s="18" t="s">
        <v>522</v>
      </c>
      <c r="C133" s="19">
        <v>30000</v>
      </c>
      <c r="D133" s="21"/>
      <c r="E133" s="21"/>
    </row>
    <row r="134" spans="1:5" ht="30" x14ac:dyDescent="0.25">
      <c r="A134" s="18" t="s">
        <v>205</v>
      </c>
      <c r="B134" s="18" t="s">
        <v>522</v>
      </c>
      <c r="C134" s="19">
        <v>30000</v>
      </c>
      <c r="D134" s="29"/>
      <c r="E134" s="29"/>
    </row>
    <row r="135" spans="1:5" ht="30" x14ac:dyDescent="0.25">
      <c r="A135" s="18" t="s">
        <v>206</v>
      </c>
      <c r="B135" s="18" t="s">
        <v>522</v>
      </c>
      <c r="C135" s="19">
        <v>6000</v>
      </c>
      <c r="D135" s="21"/>
      <c r="E135" s="19">
        <v>180000</v>
      </c>
    </row>
    <row r="136" spans="1:5" ht="30" x14ac:dyDescent="0.25">
      <c r="A136" s="18" t="s">
        <v>207</v>
      </c>
      <c r="B136" s="18" t="s">
        <v>522</v>
      </c>
      <c r="C136" s="19">
        <v>85000</v>
      </c>
      <c r="D136" s="19">
        <v>35000</v>
      </c>
      <c r="E136" s="19">
        <v>0</v>
      </c>
    </row>
    <row r="137" spans="1:5" ht="30" x14ac:dyDescent="0.25">
      <c r="A137" s="18" t="s">
        <v>208</v>
      </c>
      <c r="B137" s="18" t="s">
        <v>522</v>
      </c>
      <c r="C137" s="19">
        <v>120000</v>
      </c>
      <c r="D137" s="22">
        <v>120000</v>
      </c>
      <c r="E137" s="22">
        <v>120000</v>
      </c>
    </row>
    <row r="138" spans="1:5" ht="30" x14ac:dyDescent="0.25">
      <c r="A138" s="18" t="s">
        <v>211</v>
      </c>
      <c r="B138" s="18" t="s">
        <v>522</v>
      </c>
      <c r="C138" s="22">
        <v>50000</v>
      </c>
      <c r="D138" s="19">
        <v>0</v>
      </c>
      <c r="E138" s="29"/>
    </row>
    <row r="139" spans="1:5" ht="30" x14ac:dyDescent="0.25">
      <c r="A139" s="18" t="s">
        <v>213</v>
      </c>
      <c r="B139" s="18" t="s">
        <v>522</v>
      </c>
      <c r="C139" s="19">
        <v>0</v>
      </c>
      <c r="D139" s="21"/>
      <c r="E139" s="21"/>
    </row>
    <row r="140" spans="1:5" ht="30" x14ac:dyDescent="0.25">
      <c r="A140" s="18" t="s">
        <v>217</v>
      </c>
      <c r="B140" s="18" t="s">
        <v>522</v>
      </c>
      <c r="C140" s="19">
        <v>0</v>
      </c>
      <c r="D140" s="21"/>
      <c r="E140" s="29"/>
    </row>
    <row r="141" spans="1:5" ht="30" x14ac:dyDescent="0.25">
      <c r="A141" s="18" t="s">
        <v>219</v>
      </c>
      <c r="B141" s="18" t="s">
        <v>522</v>
      </c>
      <c r="C141" s="19">
        <v>526200</v>
      </c>
      <c r="D141" s="19">
        <v>463500</v>
      </c>
      <c r="E141" s="19">
        <v>612000</v>
      </c>
    </row>
    <row r="142" spans="1:5" ht="30" x14ac:dyDescent="0.25">
      <c r="A142" s="18" t="s">
        <v>220</v>
      </c>
      <c r="B142" s="18" t="s">
        <v>522</v>
      </c>
      <c r="C142" s="19">
        <v>40797</v>
      </c>
      <c r="D142" s="19">
        <v>44000</v>
      </c>
      <c r="E142" s="19">
        <v>52099</v>
      </c>
    </row>
    <row r="143" spans="1:5" ht="30" x14ac:dyDescent="0.25">
      <c r="A143" s="18" t="s">
        <v>225</v>
      </c>
      <c r="B143" s="18" t="s">
        <v>522</v>
      </c>
      <c r="C143" s="19">
        <v>30000</v>
      </c>
      <c r="D143" s="19">
        <v>20000</v>
      </c>
      <c r="E143" s="22">
        <v>675000</v>
      </c>
    </row>
    <row r="144" spans="1:5" ht="30" x14ac:dyDescent="0.25">
      <c r="A144" s="18" t="s">
        <v>523</v>
      </c>
      <c r="B144" s="18" t="s">
        <v>522</v>
      </c>
      <c r="C144" s="19">
        <v>90000</v>
      </c>
      <c r="D144" s="19">
        <v>0</v>
      </c>
      <c r="E144" s="19">
        <v>0</v>
      </c>
    </row>
    <row r="145" spans="1:5" ht="30" x14ac:dyDescent="0.25">
      <c r="A145" s="18" t="s">
        <v>228</v>
      </c>
      <c r="B145" s="18" t="s">
        <v>522</v>
      </c>
      <c r="C145" s="19">
        <v>270000</v>
      </c>
      <c r="D145" s="19">
        <v>140000</v>
      </c>
      <c r="E145" s="19">
        <v>110000</v>
      </c>
    </row>
    <row r="146" spans="1:5" ht="30" x14ac:dyDescent="0.25">
      <c r="A146" s="18" t="s">
        <v>229</v>
      </c>
      <c r="B146" s="18" t="s">
        <v>522</v>
      </c>
      <c r="C146" s="21"/>
      <c r="D146" s="19">
        <v>60000</v>
      </c>
      <c r="E146" s="19">
        <v>80000</v>
      </c>
    </row>
    <row r="147" spans="1:5" ht="30" x14ac:dyDescent="0.25">
      <c r="A147" s="18" t="s">
        <v>230</v>
      </c>
      <c r="B147" s="18" t="s">
        <v>522</v>
      </c>
      <c r="C147" s="19">
        <v>490000</v>
      </c>
      <c r="D147" s="19">
        <v>690000</v>
      </c>
      <c r="E147" s="19">
        <v>670000</v>
      </c>
    </row>
    <row r="148" spans="1:5" ht="30" x14ac:dyDescent="0.25">
      <c r="A148" s="18" t="s">
        <v>231</v>
      </c>
      <c r="B148" s="18" t="s">
        <v>522</v>
      </c>
      <c r="C148" s="19">
        <v>625000</v>
      </c>
      <c r="D148" s="19">
        <v>510000</v>
      </c>
      <c r="E148" s="19">
        <v>480000</v>
      </c>
    </row>
    <row r="149" spans="1:5" ht="30" x14ac:dyDescent="0.25">
      <c r="A149" s="18" t="s">
        <v>234</v>
      </c>
      <c r="B149" s="18" t="s">
        <v>522</v>
      </c>
      <c r="C149" s="19">
        <v>241287</v>
      </c>
      <c r="D149" s="19">
        <v>110000</v>
      </c>
      <c r="E149" s="22">
        <v>230000</v>
      </c>
    </row>
    <row r="150" spans="1:5" ht="30" x14ac:dyDescent="0.25">
      <c r="A150" s="18" t="s">
        <v>420</v>
      </c>
      <c r="B150" s="18" t="s">
        <v>522</v>
      </c>
      <c r="C150" s="19">
        <v>0</v>
      </c>
      <c r="D150" s="29"/>
      <c r="E150" s="20"/>
    </row>
    <row r="151" spans="1:5" ht="30" x14ac:dyDescent="0.25">
      <c r="A151" s="18" t="s">
        <v>421</v>
      </c>
      <c r="B151" s="18" t="s">
        <v>522</v>
      </c>
      <c r="C151" s="19">
        <v>20000</v>
      </c>
      <c r="D151" s="21"/>
      <c r="E151" s="20"/>
    </row>
    <row r="152" spans="1:5" ht="30" x14ac:dyDescent="0.25">
      <c r="A152" s="18" t="s">
        <v>427</v>
      </c>
      <c r="B152" s="18" t="s">
        <v>522</v>
      </c>
      <c r="C152" s="22">
        <v>150000</v>
      </c>
      <c r="D152" s="21"/>
      <c r="E152" s="21"/>
    </row>
    <row r="153" spans="1:5" ht="30" x14ac:dyDescent="0.25">
      <c r="A153" s="18" t="s">
        <v>428</v>
      </c>
      <c r="B153" s="18" t="s">
        <v>522</v>
      </c>
      <c r="C153" s="19">
        <v>0</v>
      </c>
      <c r="D153" s="21"/>
      <c r="E153" s="29"/>
    </row>
    <row r="154" spans="1:5" ht="30" x14ac:dyDescent="0.25">
      <c r="A154" s="18" t="s">
        <v>429</v>
      </c>
      <c r="B154" s="18" t="s">
        <v>522</v>
      </c>
      <c r="C154" s="19">
        <v>80000</v>
      </c>
      <c r="D154" s="19">
        <v>50000</v>
      </c>
      <c r="E154" s="19">
        <v>20000</v>
      </c>
    </row>
    <row r="155" spans="1:5" ht="30" x14ac:dyDescent="0.25">
      <c r="A155" s="18" t="s">
        <v>430</v>
      </c>
      <c r="B155" s="18" t="s">
        <v>522</v>
      </c>
      <c r="C155" s="19">
        <v>40000</v>
      </c>
      <c r="D155" s="19">
        <v>30000</v>
      </c>
      <c r="E155" s="19">
        <v>0</v>
      </c>
    </row>
    <row r="156" spans="1:5" ht="30" x14ac:dyDescent="0.25">
      <c r="A156" s="18" t="s">
        <v>431</v>
      </c>
      <c r="B156" s="18" t="s">
        <v>522</v>
      </c>
      <c r="C156" s="19">
        <v>10000</v>
      </c>
      <c r="D156" s="21"/>
      <c r="E156" s="21"/>
    </row>
    <row r="157" spans="1:5" ht="30" x14ac:dyDescent="0.25">
      <c r="A157" s="18" t="s">
        <v>433</v>
      </c>
      <c r="B157" s="18" t="s">
        <v>522</v>
      </c>
      <c r="C157" s="21"/>
      <c r="D157" s="19">
        <v>20000</v>
      </c>
      <c r="E157" s="19">
        <v>10000</v>
      </c>
    </row>
    <row r="158" spans="1:5" ht="30" x14ac:dyDescent="0.25">
      <c r="A158" s="18" t="s">
        <v>435</v>
      </c>
      <c r="B158" s="18" t="s">
        <v>522</v>
      </c>
      <c r="C158" s="22">
        <v>0</v>
      </c>
      <c r="D158" s="19">
        <v>0</v>
      </c>
      <c r="E158" s="21"/>
    </row>
    <row r="159" spans="1:5" ht="30" x14ac:dyDescent="0.25">
      <c r="A159" s="18" t="s">
        <v>437</v>
      </c>
      <c r="B159" s="18" t="s">
        <v>522</v>
      </c>
      <c r="C159" s="19">
        <v>470000</v>
      </c>
      <c r="D159" s="19">
        <v>400000</v>
      </c>
      <c r="E159" s="19">
        <v>540000</v>
      </c>
    </row>
    <row r="160" spans="1:5" ht="30" x14ac:dyDescent="0.25">
      <c r="A160" s="18" t="s">
        <v>441</v>
      </c>
      <c r="B160" s="18" t="s">
        <v>522</v>
      </c>
      <c r="C160" s="19">
        <v>110000</v>
      </c>
      <c r="D160" s="19">
        <v>0</v>
      </c>
      <c r="E160" s="21"/>
    </row>
    <row r="161" spans="1:7" ht="30" x14ac:dyDescent="0.25">
      <c r="A161" s="18" t="s">
        <v>442</v>
      </c>
      <c r="B161" s="18" t="s">
        <v>522</v>
      </c>
      <c r="C161" s="19">
        <v>10000</v>
      </c>
      <c r="D161" s="19">
        <v>50000</v>
      </c>
      <c r="E161" s="22">
        <v>120000</v>
      </c>
    </row>
    <row r="162" spans="1:7" ht="30" x14ac:dyDescent="0.25">
      <c r="A162" s="18" t="s">
        <v>445</v>
      </c>
      <c r="B162" s="18" t="s">
        <v>522</v>
      </c>
      <c r="C162" s="22">
        <v>50000</v>
      </c>
      <c r="D162" s="19">
        <v>50000</v>
      </c>
      <c r="E162" s="21"/>
    </row>
    <row r="163" spans="1:7" ht="30" x14ac:dyDescent="0.25">
      <c r="A163" s="18" t="s">
        <v>447</v>
      </c>
      <c r="B163" s="18" t="s">
        <v>522</v>
      </c>
      <c r="C163" s="19">
        <v>435000</v>
      </c>
      <c r="D163" s="22">
        <v>440000</v>
      </c>
      <c r="E163" s="22">
        <v>440000</v>
      </c>
    </row>
    <row r="164" spans="1:7" ht="30" x14ac:dyDescent="0.25">
      <c r="A164" s="18" t="s">
        <v>448</v>
      </c>
      <c r="B164" s="18" t="s">
        <v>522</v>
      </c>
      <c r="C164" s="19">
        <v>240000</v>
      </c>
      <c r="D164" s="19">
        <v>0</v>
      </c>
      <c r="E164" s="29"/>
    </row>
    <row r="165" spans="1:7" ht="30" x14ac:dyDescent="0.25">
      <c r="A165" s="18" t="s">
        <v>270</v>
      </c>
      <c r="B165" s="18" t="s">
        <v>522</v>
      </c>
      <c r="C165" s="19">
        <v>200000</v>
      </c>
      <c r="D165" s="19">
        <v>240000</v>
      </c>
      <c r="E165" s="19">
        <v>240000</v>
      </c>
    </row>
    <row r="166" spans="1:7" ht="30" x14ac:dyDescent="0.25">
      <c r="A166" s="18" t="s">
        <v>271</v>
      </c>
      <c r="B166" s="18" t="s">
        <v>522</v>
      </c>
      <c r="C166" s="22">
        <v>120000</v>
      </c>
      <c r="D166" s="19">
        <v>195000</v>
      </c>
      <c r="E166" s="19">
        <v>166666</v>
      </c>
      <c r="F166" s="1"/>
      <c r="G166" s="10"/>
    </row>
    <row r="167" spans="1:7" ht="30" x14ac:dyDescent="0.25">
      <c r="A167" s="18" t="s">
        <v>272</v>
      </c>
      <c r="B167" s="18" t="s">
        <v>522</v>
      </c>
      <c r="C167" s="19">
        <v>460000</v>
      </c>
      <c r="D167" s="19">
        <v>518038</v>
      </c>
      <c r="E167" s="22">
        <v>614424</v>
      </c>
      <c r="F167" s="10"/>
    </row>
    <row r="168" spans="1:7" ht="15" x14ac:dyDescent="0.25">
      <c r="A168" s="18" t="s">
        <v>51</v>
      </c>
      <c r="B168" s="18" t="s">
        <v>521</v>
      </c>
      <c r="C168" s="19">
        <v>170000</v>
      </c>
      <c r="D168" s="21"/>
      <c r="E168" s="29"/>
    </row>
    <row r="169" spans="1:7" ht="15" x14ac:dyDescent="0.25">
      <c r="A169" s="18" t="s">
        <v>96</v>
      </c>
      <c r="B169" s="18" t="s">
        <v>521</v>
      </c>
      <c r="C169" s="19">
        <v>200000</v>
      </c>
      <c r="D169" s="22">
        <v>100000</v>
      </c>
      <c r="E169" s="20"/>
    </row>
    <row r="170" spans="1:7" ht="15" x14ac:dyDescent="0.25">
      <c r="A170" s="18" t="s">
        <v>98</v>
      </c>
      <c r="B170" s="18" t="s">
        <v>521</v>
      </c>
      <c r="C170" s="19">
        <v>4670000</v>
      </c>
      <c r="D170" s="22">
        <v>4880000</v>
      </c>
      <c r="E170" s="22">
        <v>4290000</v>
      </c>
    </row>
    <row r="171" spans="1:7" ht="15" x14ac:dyDescent="0.25">
      <c r="A171" s="18" t="s">
        <v>99</v>
      </c>
      <c r="B171" s="18" t="s">
        <v>521</v>
      </c>
      <c r="C171" s="19">
        <v>0</v>
      </c>
      <c r="D171" s="21"/>
      <c r="E171" s="21"/>
    </row>
    <row r="172" spans="1:7" ht="15" x14ac:dyDescent="0.25">
      <c r="A172" s="18" t="s">
        <v>100</v>
      </c>
      <c r="B172" s="18" t="s">
        <v>521</v>
      </c>
      <c r="C172" s="19">
        <v>0</v>
      </c>
      <c r="D172" s="20"/>
      <c r="E172" s="20"/>
      <c r="F172" s="1" t="s">
        <v>526</v>
      </c>
    </row>
    <row r="173" spans="1:7" ht="15" x14ac:dyDescent="0.25">
      <c r="A173" s="18" t="s">
        <v>104</v>
      </c>
      <c r="B173" s="18" t="s">
        <v>521</v>
      </c>
      <c r="C173" s="19">
        <v>240000</v>
      </c>
      <c r="D173" s="19">
        <v>210000</v>
      </c>
      <c r="E173" s="22">
        <v>210000</v>
      </c>
      <c r="F173" s="24">
        <f>SUM(C168:C333)</f>
        <v>186363467</v>
      </c>
    </row>
    <row r="174" spans="1:7" ht="15" x14ac:dyDescent="0.25">
      <c r="A174" s="18" t="s">
        <v>105</v>
      </c>
      <c r="B174" s="18" t="s">
        <v>521</v>
      </c>
      <c r="C174" s="19">
        <v>270000</v>
      </c>
      <c r="D174" s="19">
        <v>0</v>
      </c>
      <c r="E174" s="21"/>
      <c r="F174" s="1" t="s">
        <v>527</v>
      </c>
    </row>
    <row r="175" spans="1:7" ht="15" x14ac:dyDescent="0.25">
      <c r="A175" s="18" t="s">
        <v>106</v>
      </c>
      <c r="B175" s="18" t="s">
        <v>521</v>
      </c>
      <c r="C175" s="19">
        <v>0</v>
      </c>
      <c r="D175" s="21"/>
      <c r="E175" s="21"/>
      <c r="F175" s="10">
        <f>SUM(D169:D333)</f>
        <v>155376175</v>
      </c>
    </row>
    <row r="176" spans="1:7" ht="15" x14ac:dyDescent="0.25">
      <c r="A176" s="18" t="s">
        <v>108</v>
      </c>
      <c r="B176" s="18" t="s">
        <v>521</v>
      </c>
      <c r="C176" s="19">
        <v>140000</v>
      </c>
      <c r="D176" s="22">
        <v>0</v>
      </c>
      <c r="E176" s="20"/>
      <c r="F176" s="1" t="s">
        <v>528</v>
      </c>
    </row>
    <row r="177" spans="1:6" ht="15" x14ac:dyDescent="0.25">
      <c r="A177" s="18" t="s">
        <v>113</v>
      </c>
      <c r="B177" s="18" t="s">
        <v>521</v>
      </c>
      <c r="C177" s="19">
        <v>70000</v>
      </c>
      <c r="D177" s="22">
        <v>80000</v>
      </c>
      <c r="E177" s="22">
        <v>20000</v>
      </c>
      <c r="F177" s="10">
        <f>SUM(E169:E333)</f>
        <v>145963807</v>
      </c>
    </row>
    <row r="178" spans="1:6" ht="15" x14ac:dyDescent="0.25">
      <c r="A178" s="18" t="s">
        <v>117</v>
      </c>
      <c r="B178" s="18" t="s">
        <v>521</v>
      </c>
      <c r="C178" s="19">
        <v>90000</v>
      </c>
      <c r="D178" s="19">
        <v>80000</v>
      </c>
      <c r="E178" s="19">
        <v>40000</v>
      </c>
      <c r="F178" s="1"/>
    </row>
    <row r="179" spans="1:6" ht="15" x14ac:dyDescent="0.25">
      <c r="A179" s="18" t="s">
        <v>119</v>
      </c>
      <c r="B179" s="18" t="s">
        <v>521</v>
      </c>
      <c r="C179" s="19">
        <v>60000</v>
      </c>
      <c r="D179" s="21"/>
      <c r="E179" s="21"/>
      <c r="F179" s="23" t="s">
        <v>529</v>
      </c>
    </row>
    <row r="180" spans="1:6" ht="15" x14ac:dyDescent="0.25">
      <c r="A180" s="18" t="s">
        <v>0</v>
      </c>
      <c r="B180" s="18" t="s">
        <v>521</v>
      </c>
      <c r="C180" s="19">
        <v>210000</v>
      </c>
      <c r="D180" s="19">
        <v>380000</v>
      </c>
      <c r="E180" s="19">
        <v>420000</v>
      </c>
      <c r="F180" s="23">
        <f>F177+F175+F173</f>
        <v>487703449</v>
      </c>
    </row>
    <row r="181" spans="1:6" ht="15" x14ac:dyDescent="0.25">
      <c r="A181" s="18" t="s">
        <v>1</v>
      </c>
      <c r="B181" s="18" t="s">
        <v>521</v>
      </c>
      <c r="C181" s="22">
        <v>325833</v>
      </c>
      <c r="D181" s="19">
        <v>192531</v>
      </c>
      <c r="E181" s="19">
        <v>214592</v>
      </c>
      <c r="F181" s="10"/>
    </row>
    <row r="182" spans="1:6" ht="15" x14ac:dyDescent="0.25">
      <c r="A182" s="18" t="s">
        <v>2</v>
      </c>
      <c r="B182" s="18" t="s">
        <v>521</v>
      </c>
      <c r="C182" s="19">
        <v>1330000</v>
      </c>
      <c r="D182" s="19">
        <v>1280000</v>
      </c>
      <c r="E182" s="19">
        <v>1910000</v>
      </c>
    </row>
    <row r="183" spans="1:6" ht="15" x14ac:dyDescent="0.25">
      <c r="A183" s="18" t="s">
        <v>3</v>
      </c>
      <c r="B183" s="18" t="s">
        <v>521</v>
      </c>
      <c r="C183" s="19">
        <v>200000</v>
      </c>
      <c r="D183" s="19">
        <v>100000</v>
      </c>
      <c r="E183" s="19">
        <v>110000</v>
      </c>
    </row>
    <row r="184" spans="1:6" ht="15" x14ac:dyDescent="0.25">
      <c r="A184" s="18" t="s">
        <v>4</v>
      </c>
      <c r="B184" s="18" t="s">
        <v>521</v>
      </c>
      <c r="C184" s="19">
        <v>110000</v>
      </c>
      <c r="D184" s="19">
        <v>80000</v>
      </c>
      <c r="E184" s="19">
        <v>40000</v>
      </c>
    </row>
    <row r="185" spans="1:6" ht="15" x14ac:dyDescent="0.25">
      <c r="A185" s="18" t="s">
        <v>5</v>
      </c>
      <c r="B185" s="18" t="s">
        <v>521</v>
      </c>
      <c r="C185" s="19">
        <v>240000</v>
      </c>
      <c r="D185" s="19">
        <v>240000</v>
      </c>
      <c r="E185" s="19">
        <v>200000</v>
      </c>
    </row>
    <row r="186" spans="1:6" ht="15" x14ac:dyDescent="0.25">
      <c r="A186" s="18" t="s">
        <v>8</v>
      </c>
      <c r="B186" s="18" t="s">
        <v>521</v>
      </c>
      <c r="C186" s="19">
        <v>12440000</v>
      </c>
      <c r="D186" s="19">
        <v>10260000</v>
      </c>
      <c r="E186" s="19">
        <v>10000000</v>
      </c>
    </row>
    <row r="187" spans="1:6" ht="15" x14ac:dyDescent="0.25">
      <c r="A187" s="18" t="s">
        <v>9</v>
      </c>
      <c r="B187" s="18" t="s">
        <v>521</v>
      </c>
      <c r="C187" s="19">
        <v>387500</v>
      </c>
      <c r="D187" s="19">
        <v>210000</v>
      </c>
      <c r="E187" s="21"/>
    </row>
    <row r="188" spans="1:6" ht="15" x14ac:dyDescent="0.25">
      <c r="A188" s="18" t="s">
        <v>10</v>
      </c>
      <c r="B188" s="18" t="s">
        <v>521</v>
      </c>
      <c r="C188" s="19">
        <v>1250000</v>
      </c>
      <c r="D188" s="19">
        <v>960000</v>
      </c>
      <c r="E188" s="19">
        <v>960000</v>
      </c>
    </row>
    <row r="189" spans="1:6" ht="15" x14ac:dyDescent="0.25">
      <c r="A189" s="18" t="s">
        <v>11</v>
      </c>
      <c r="B189" s="18" t="s">
        <v>521</v>
      </c>
      <c r="C189" s="19">
        <v>190000</v>
      </c>
      <c r="D189" s="19">
        <v>190000</v>
      </c>
      <c r="E189" s="19">
        <v>50000</v>
      </c>
    </row>
    <row r="190" spans="1:6" ht="15" x14ac:dyDescent="0.25">
      <c r="A190" s="18" t="s">
        <v>12</v>
      </c>
      <c r="B190" s="18" t="s">
        <v>521</v>
      </c>
      <c r="C190" s="19">
        <v>0</v>
      </c>
      <c r="D190" s="19">
        <v>0</v>
      </c>
      <c r="E190" s="19">
        <v>0</v>
      </c>
    </row>
    <row r="191" spans="1:6" ht="15" x14ac:dyDescent="0.25">
      <c r="A191" s="18" t="s">
        <v>15</v>
      </c>
      <c r="B191" s="18" t="s">
        <v>521</v>
      </c>
      <c r="C191" s="19">
        <v>80000</v>
      </c>
      <c r="D191" s="19">
        <v>0</v>
      </c>
      <c r="E191" s="21"/>
    </row>
    <row r="192" spans="1:6" ht="15" x14ac:dyDescent="0.25">
      <c r="A192" s="18" t="s">
        <v>16</v>
      </c>
      <c r="B192" s="18" t="s">
        <v>521</v>
      </c>
      <c r="C192" s="19">
        <v>590000</v>
      </c>
      <c r="D192" s="19">
        <v>540000</v>
      </c>
      <c r="E192" s="19">
        <v>690000</v>
      </c>
    </row>
    <row r="193" spans="1:5" ht="15" x14ac:dyDescent="0.25">
      <c r="A193" s="18" t="s">
        <v>17</v>
      </c>
      <c r="B193" s="18" t="s">
        <v>521</v>
      </c>
      <c r="C193" s="22">
        <v>60000</v>
      </c>
      <c r="D193" s="19">
        <v>40000</v>
      </c>
      <c r="E193" s="19">
        <v>140000</v>
      </c>
    </row>
    <row r="194" spans="1:5" ht="15" x14ac:dyDescent="0.25">
      <c r="A194" s="18" t="s">
        <v>18</v>
      </c>
      <c r="B194" s="18" t="s">
        <v>521</v>
      </c>
      <c r="C194" s="19">
        <v>30000</v>
      </c>
      <c r="D194" s="22">
        <v>200000</v>
      </c>
      <c r="E194" s="22">
        <v>70000</v>
      </c>
    </row>
    <row r="195" spans="1:5" ht="15" x14ac:dyDescent="0.25">
      <c r="A195" s="18" t="s">
        <v>22</v>
      </c>
      <c r="B195" s="18" t="s">
        <v>521</v>
      </c>
      <c r="C195" s="19">
        <v>80000</v>
      </c>
      <c r="D195" s="19">
        <v>100000</v>
      </c>
      <c r="E195" s="19">
        <v>90000</v>
      </c>
    </row>
    <row r="196" spans="1:5" ht="15" x14ac:dyDescent="0.25">
      <c r="A196" s="18" t="s">
        <v>23</v>
      </c>
      <c r="B196" s="18" t="s">
        <v>521</v>
      </c>
      <c r="C196" s="19">
        <v>1651408</v>
      </c>
      <c r="D196" s="19">
        <v>1690000</v>
      </c>
      <c r="E196" s="19">
        <v>1410000</v>
      </c>
    </row>
    <row r="197" spans="1:5" ht="15" x14ac:dyDescent="0.25">
      <c r="A197" s="18" t="s">
        <v>24</v>
      </c>
      <c r="B197" s="18" t="s">
        <v>521</v>
      </c>
      <c r="C197" s="19">
        <v>50000</v>
      </c>
      <c r="D197" s="19">
        <v>30000</v>
      </c>
      <c r="E197" s="19">
        <v>0</v>
      </c>
    </row>
    <row r="198" spans="1:5" ht="15" x14ac:dyDescent="0.25">
      <c r="A198" s="18" t="s">
        <v>25</v>
      </c>
      <c r="B198" s="18" t="s">
        <v>521</v>
      </c>
      <c r="C198" s="19">
        <v>4860000</v>
      </c>
      <c r="D198" s="22">
        <v>4560000</v>
      </c>
      <c r="E198" s="22">
        <v>3070000</v>
      </c>
    </row>
    <row r="199" spans="1:5" ht="15" x14ac:dyDescent="0.25">
      <c r="A199" s="18" t="s">
        <v>28</v>
      </c>
      <c r="B199" s="18" t="s">
        <v>521</v>
      </c>
      <c r="C199" s="21"/>
      <c r="D199" s="19">
        <v>120000</v>
      </c>
      <c r="E199" s="19">
        <v>0</v>
      </c>
    </row>
    <row r="200" spans="1:5" ht="15" x14ac:dyDescent="0.25">
      <c r="A200" s="18" t="s">
        <v>29</v>
      </c>
      <c r="B200" s="18" t="s">
        <v>521</v>
      </c>
      <c r="C200" s="19">
        <v>16500</v>
      </c>
      <c r="D200" s="21"/>
      <c r="E200" s="21"/>
    </row>
    <row r="201" spans="1:5" ht="15" x14ac:dyDescent="0.25">
      <c r="A201" s="18" t="s">
        <v>30</v>
      </c>
      <c r="B201" s="18" t="s">
        <v>521</v>
      </c>
      <c r="C201" s="19">
        <v>325000</v>
      </c>
      <c r="D201" s="19">
        <v>530000</v>
      </c>
      <c r="E201" s="19">
        <v>600000</v>
      </c>
    </row>
    <row r="202" spans="1:5" ht="15" x14ac:dyDescent="0.25">
      <c r="A202" s="18" t="s">
        <v>32</v>
      </c>
      <c r="B202" s="18" t="s">
        <v>521</v>
      </c>
      <c r="C202" s="19">
        <v>7738512</v>
      </c>
      <c r="D202" s="19">
        <v>4208640</v>
      </c>
      <c r="E202" s="22">
        <v>5760000</v>
      </c>
    </row>
    <row r="203" spans="1:5" ht="15" x14ac:dyDescent="0.25">
      <c r="A203" s="18" t="s">
        <v>34</v>
      </c>
      <c r="B203" s="18" t="s">
        <v>521</v>
      </c>
      <c r="C203" s="19">
        <v>190000</v>
      </c>
      <c r="D203" s="22">
        <v>490000</v>
      </c>
      <c r="E203" s="22">
        <v>210000</v>
      </c>
    </row>
    <row r="204" spans="1:5" ht="15" x14ac:dyDescent="0.25">
      <c r="A204" s="18" t="s">
        <v>39</v>
      </c>
      <c r="B204" s="18" t="s">
        <v>521</v>
      </c>
      <c r="C204" s="19">
        <v>0</v>
      </c>
      <c r="D204" s="21"/>
      <c r="E204" s="19">
        <v>0</v>
      </c>
    </row>
    <row r="205" spans="1:5" ht="15" x14ac:dyDescent="0.25">
      <c r="A205" s="18" t="s">
        <v>43</v>
      </c>
      <c r="B205" s="18" t="s">
        <v>521</v>
      </c>
      <c r="C205" s="19">
        <v>2743000</v>
      </c>
      <c r="D205" s="19">
        <v>2749940</v>
      </c>
      <c r="E205" s="19">
        <v>2594086</v>
      </c>
    </row>
    <row r="206" spans="1:5" ht="15" x14ac:dyDescent="0.25">
      <c r="A206" s="18" t="s">
        <v>45</v>
      </c>
      <c r="B206" s="18" t="s">
        <v>521</v>
      </c>
      <c r="C206" s="19">
        <v>280000</v>
      </c>
      <c r="D206" s="19">
        <v>360000</v>
      </c>
      <c r="E206" s="22">
        <v>360000</v>
      </c>
    </row>
    <row r="207" spans="1:5" ht="15" x14ac:dyDescent="0.25">
      <c r="A207" s="18" t="s">
        <v>159</v>
      </c>
      <c r="B207" s="18" t="s">
        <v>521</v>
      </c>
      <c r="C207" s="19">
        <v>120000</v>
      </c>
      <c r="D207" s="19">
        <v>20000</v>
      </c>
      <c r="E207" s="21"/>
    </row>
    <row r="208" spans="1:5" ht="15" x14ac:dyDescent="0.25">
      <c r="A208" s="18" t="s">
        <v>160</v>
      </c>
      <c r="B208" s="18" t="s">
        <v>521</v>
      </c>
      <c r="C208" s="19">
        <v>50000</v>
      </c>
      <c r="D208" s="19">
        <v>330000</v>
      </c>
      <c r="E208" s="19">
        <v>130000</v>
      </c>
    </row>
    <row r="209" spans="1:5" ht="15" x14ac:dyDescent="0.25">
      <c r="A209" s="18" t="s">
        <v>161</v>
      </c>
      <c r="B209" s="18" t="s">
        <v>521</v>
      </c>
      <c r="C209" s="19">
        <v>3436256</v>
      </c>
      <c r="D209" s="19">
        <v>3344000</v>
      </c>
      <c r="E209" s="19">
        <v>3130000</v>
      </c>
    </row>
    <row r="210" spans="1:5" ht="15" x14ac:dyDescent="0.25">
      <c r="A210" s="18" t="s">
        <v>162</v>
      </c>
      <c r="B210" s="18" t="s">
        <v>521</v>
      </c>
      <c r="C210" s="19">
        <v>120000</v>
      </c>
      <c r="D210" s="22">
        <v>120000</v>
      </c>
      <c r="E210" s="22">
        <v>120000</v>
      </c>
    </row>
    <row r="211" spans="1:5" ht="15" x14ac:dyDescent="0.25">
      <c r="A211" s="18" t="s">
        <v>164</v>
      </c>
      <c r="B211" s="18" t="s">
        <v>521</v>
      </c>
      <c r="C211" s="19">
        <v>90000</v>
      </c>
      <c r="D211" s="19">
        <v>130000</v>
      </c>
      <c r="E211" s="19">
        <v>160000</v>
      </c>
    </row>
    <row r="212" spans="1:5" ht="15" x14ac:dyDescent="0.25">
      <c r="A212" s="18" t="s">
        <v>168</v>
      </c>
      <c r="B212" s="18" t="s">
        <v>521</v>
      </c>
      <c r="C212" s="19">
        <v>1365000</v>
      </c>
      <c r="D212" s="19">
        <v>950000</v>
      </c>
      <c r="E212" s="19">
        <v>955000</v>
      </c>
    </row>
    <row r="213" spans="1:5" ht="15" x14ac:dyDescent="0.25">
      <c r="A213" s="18" t="s">
        <v>169</v>
      </c>
      <c r="B213" s="18" t="s">
        <v>521</v>
      </c>
      <c r="C213" s="19">
        <v>160000</v>
      </c>
      <c r="D213" s="19">
        <v>0</v>
      </c>
      <c r="E213" s="21"/>
    </row>
    <row r="214" spans="1:5" ht="15" x14ac:dyDescent="0.25">
      <c r="A214" s="18" t="s">
        <v>171</v>
      </c>
      <c r="B214" s="18" t="s">
        <v>521</v>
      </c>
      <c r="C214" s="19">
        <v>872304</v>
      </c>
      <c r="D214" s="19">
        <v>1380000</v>
      </c>
      <c r="E214" s="19">
        <v>1090000</v>
      </c>
    </row>
    <row r="215" spans="1:5" ht="15" x14ac:dyDescent="0.25">
      <c r="A215" s="18" t="s">
        <v>172</v>
      </c>
      <c r="B215" s="18" t="s">
        <v>521</v>
      </c>
      <c r="C215" s="19">
        <v>40000</v>
      </c>
      <c r="D215" s="21"/>
      <c r="E215" s="21"/>
    </row>
    <row r="216" spans="1:5" ht="15" x14ac:dyDescent="0.25">
      <c r="A216" s="18" t="s">
        <v>173</v>
      </c>
      <c r="B216" s="18" t="s">
        <v>521</v>
      </c>
      <c r="C216" s="19">
        <v>50000</v>
      </c>
      <c r="D216" s="21"/>
      <c r="E216" s="19">
        <v>120000</v>
      </c>
    </row>
    <row r="217" spans="1:5" ht="15" x14ac:dyDescent="0.25">
      <c r="A217" s="18" t="s">
        <v>176</v>
      </c>
      <c r="B217" s="18" t="s">
        <v>521</v>
      </c>
      <c r="C217" s="19">
        <v>360000</v>
      </c>
      <c r="D217" s="19">
        <v>110000</v>
      </c>
      <c r="E217" s="21"/>
    </row>
    <row r="218" spans="1:5" ht="15" x14ac:dyDescent="0.25">
      <c r="A218" s="18" t="s">
        <v>179</v>
      </c>
      <c r="B218" s="18" t="s">
        <v>521</v>
      </c>
      <c r="C218" s="21"/>
      <c r="D218" s="19">
        <v>200000</v>
      </c>
      <c r="E218" s="19">
        <v>0</v>
      </c>
    </row>
    <row r="219" spans="1:5" ht="15" x14ac:dyDescent="0.25">
      <c r="A219" s="18" t="s">
        <v>182</v>
      </c>
      <c r="B219" s="18" t="s">
        <v>521</v>
      </c>
      <c r="C219" s="21"/>
      <c r="D219" s="19">
        <v>240000</v>
      </c>
      <c r="E219" s="19">
        <v>80000</v>
      </c>
    </row>
    <row r="220" spans="1:5" ht="15" x14ac:dyDescent="0.25">
      <c r="A220" s="18" t="s">
        <v>184</v>
      </c>
      <c r="B220" s="18" t="s">
        <v>521</v>
      </c>
      <c r="C220" s="19">
        <v>1162220</v>
      </c>
      <c r="D220" s="22">
        <v>3563393</v>
      </c>
      <c r="E220" s="22">
        <v>835000</v>
      </c>
    </row>
    <row r="221" spans="1:5" ht="15" x14ac:dyDescent="0.25">
      <c r="A221" s="18" t="s">
        <v>186</v>
      </c>
      <c r="B221" s="18" t="s">
        <v>521</v>
      </c>
      <c r="C221" s="19">
        <v>320000</v>
      </c>
      <c r="D221" s="19">
        <v>360000</v>
      </c>
      <c r="E221" s="19">
        <v>360000</v>
      </c>
    </row>
    <row r="222" spans="1:5" ht="15" x14ac:dyDescent="0.25">
      <c r="A222" s="18" t="s">
        <v>188</v>
      </c>
      <c r="B222" s="18" t="s">
        <v>521</v>
      </c>
      <c r="C222" s="19">
        <v>723720</v>
      </c>
      <c r="D222" s="19">
        <v>740000</v>
      </c>
      <c r="E222" s="19">
        <v>1160000</v>
      </c>
    </row>
    <row r="223" spans="1:5" ht="15" x14ac:dyDescent="0.25">
      <c r="A223" s="18" t="s">
        <v>50</v>
      </c>
      <c r="B223" s="18" t="s">
        <v>521</v>
      </c>
      <c r="C223" s="19">
        <v>370000</v>
      </c>
      <c r="D223" s="19">
        <v>370000</v>
      </c>
      <c r="E223" s="22">
        <v>570000</v>
      </c>
    </row>
    <row r="224" spans="1:5" ht="15" x14ac:dyDescent="0.25">
      <c r="A224" s="18" t="s">
        <v>52</v>
      </c>
      <c r="B224" s="18" t="s">
        <v>521</v>
      </c>
      <c r="C224" s="19">
        <v>30000</v>
      </c>
      <c r="D224" s="21"/>
      <c r="E224" s="21"/>
    </row>
    <row r="225" spans="1:5" ht="15" x14ac:dyDescent="0.25">
      <c r="A225" s="18" t="s">
        <v>53</v>
      </c>
      <c r="B225" s="18" t="s">
        <v>521</v>
      </c>
      <c r="C225" s="19">
        <v>55000</v>
      </c>
      <c r="D225" s="19">
        <v>20000</v>
      </c>
      <c r="E225" s="20"/>
    </row>
    <row r="226" spans="1:5" ht="15" x14ac:dyDescent="0.25">
      <c r="A226" s="18" t="s">
        <v>57</v>
      </c>
      <c r="B226" s="18" t="s">
        <v>521</v>
      </c>
      <c r="C226" s="19">
        <v>0</v>
      </c>
      <c r="D226" s="21"/>
      <c r="E226" s="21"/>
    </row>
    <row r="227" spans="1:5" ht="15" x14ac:dyDescent="0.25">
      <c r="A227" s="18" t="s">
        <v>60</v>
      </c>
      <c r="B227" s="18" t="s">
        <v>521</v>
      </c>
      <c r="C227" s="19">
        <v>2730000</v>
      </c>
      <c r="D227" s="19">
        <v>3560000</v>
      </c>
      <c r="E227" s="19">
        <v>2715000</v>
      </c>
    </row>
    <row r="228" spans="1:5" ht="15" x14ac:dyDescent="0.25">
      <c r="A228" s="18" t="s">
        <v>62</v>
      </c>
      <c r="B228" s="18" t="s">
        <v>521</v>
      </c>
      <c r="C228" s="19">
        <v>11215000</v>
      </c>
      <c r="D228" s="19">
        <v>7460000</v>
      </c>
      <c r="E228" s="22">
        <v>9680000</v>
      </c>
    </row>
    <row r="229" spans="1:5" ht="15" x14ac:dyDescent="0.25">
      <c r="A229" s="18" t="s">
        <v>63</v>
      </c>
      <c r="B229" s="18" t="s">
        <v>521</v>
      </c>
      <c r="C229" s="19">
        <v>1752000</v>
      </c>
      <c r="D229" s="19">
        <v>1950000</v>
      </c>
      <c r="E229" s="22">
        <v>2360000</v>
      </c>
    </row>
    <row r="230" spans="1:5" ht="15" x14ac:dyDescent="0.25">
      <c r="A230" s="18" t="s">
        <v>67</v>
      </c>
      <c r="B230" s="18" t="s">
        <v>521</v>
      </c>
      <c r="C230" s="19">
        <v>20000</v>
      </c>
      <c r="D230" s="21"/>
      <c r="E230" s="21"/>
    </row>
    <row r="231" spans="1:5" ht="15" x14ac:dyDescent="0.25">
      <c r="A231" s="18" t="s">
        <v>70</v>
      </c>
      <c r="B231" s="18" t="s">
        <v>521</v>
      </c>
      <c r="C231" s="19">
        <v>0</v>
      </c>
      <c r="D231" s="20"/>
      <c r="E231" s="20"/>
    </row>
    <row r="232" spans="1:5" ht="15" x14ac:dyDescent="0.25">
      <c r="A232" s="18" t="s">
        <v>71</v>
      </c>
      <c r="B232" s="18" t="s">
        <v>521</v>
      </c>
      <c r="C232" s="19">
        <v>190000</v>
      </c>
      <c r="D232" s="19">
        <v>30000</v>
      </c>
      <c r="E232" s="19">
        <v>200000</v>
      </c>
    </row>
    <row r="233" spans="1:5" ht="15" x14ac:dyDescent="0.25">
      <c r="A233" s="18" t="s">
        <v>76</v>
      </c>
      <c r="B233" s="18" t="s">
        <v>521</v>
      </c>
      <c r="C233" s="19">
        <v>2178807</v>
      </c>
      <c r="D233" s="19">
        <v>1858142</v>
      </c>
      <c r="E233" s="22">
        <v>2082372</v>
      </c>
    </row>
    <row r="234" spans="1:5" ht="15" x14ac:dyDescent="0.25">
      <c r="A234" s="18" t="s">
        <v>78</v>
      </c>
      <c r="B234" s="18" t="s">
        <v>521</v>
      </c>
      <c r="C234" s="19">
        <v>8760000</v>
      </c>
      <c r="D234" s="22">
        <v>6070000</v>
      </c>
      <c r="E234" s="22">
        <v>5445000</v>
      </c>
    </row>
    <row r="235" spans="1:5" ht="15" x14ac:dyDescent="0.25">
      <c r="A235" s="18" t="s">
        <v>80</v>
      </c>
      <c r="B235" s="18" t="s">
        <v>521</v>
      </c>
      <c r="C235" s="19">
        <v>10000</v>
      </c>
      <c r="D235" s="19">
        <v>50000</v>
      </c>
      <c r="E235" s="19">
        <v>0</v>
      </c>
    </row>
    <row r="236" spans="1:5" ht="15" x14ac:dyDescent="0.25">
      <c r="A236" s="18" t="s">
        <v>84</v>
      </c>
      <c r="B236" s="18" t="s">
        <v>521</v>
      </c>
      <c r="C236" s="19">
        <v>0</v>
      </c>
      <c r="D236" s="20"/>
      <c r="E236" s="20"/>
    </row>
    <row r="237" spans="1:5" ht="15" x14ac:dyDescent="0.25">
      <c r="A237" s="18" t="s">
        <v>86</v>
      </c>
      <c r="B237" s="18" t="s">
        <v>521</v>
      </c>
      <c r="C237" s="19">
        <v>10000</v>
      </c>
      <c r="D237" s="19">
        <v>60000</v>
      </c>
      <c r="E237" s="19">
        <v>480000</v>
      </c>
    </row>
    <row r="238" spans="1:5" ht="15" x14ac:dyDescent="0.25">
      <c r="A238" s="18" t="s">
        <v>87</v>
      </c>
      <c r="B238" s="18" t="s">
        <v>521</v>
      </c>
      <c r="C238" s="19">
        <v>130000</v>
      </c>
      <c r="D238" s="22">
        <v>0</v>
      </c>
      <c r="E238" s="20"/>
    </row>
    <row r="239" spans="1:5" ht="15" x14ac:dyDescent="0.25">
      <c r="A239" s="18" t="s">
        <v>91</v>
      </c>
      <c r="B239" s="18" t="s">
        <v>521</v>
      </c>
      <c r="C239" s="19">
        <v>5037516</v>
      </c>
      <c r="D239" s="19">
        <v>418899</v>
      </c>
      <c r="E239" s="19">
        <v>439982</v>
      </c>
    </row>
    <row r="240" spans="1:5" ht="15" x14ac:dyDescent="0.25">
      <c r="A240" s="18" t="s">
        <v>237</v>
      </c>
      <c r="B240" s="18" t="s">
        <v>521</v>
      </c>
      <c r="C240" s="19">
        <v>650000</v>
      </c>
      <c r="D240" s="19">
        <v>610000</v>
      </c>
      <c r="E240" s="22">
        <v>660000</v>
      </c>
    </row>
    <row r="241" spans="1:6" ht="15" x14ac:dyDescent="0.25">
      <c r="A241" s="18" t="s">
        <v>239</v>
      </c>
      <c r="B241" s="18" t="s">
        <v>521</v>
      </c>
      <c r="C241" s="19">
        <v>0</v>
      </c>
      <c r="D241" s="19">
        <v>0</v>
      </c>
      <c r="E241" s="20"/>
    </row>
    <row r="242" spans="1:6" ht="15" x14ac:dyDescent="0.25">
      <c r="A242" s="18" t="s">
        <v>241</v>
      </c>
      <c r="B242" s="18" t="s">
        <v>521</v>
      </c>
      <c r="C242" s="19">
        <v>40000</v>
      </c>
      <c r="D242" s="19">
        <v>30000</v>
      </c>
      <c r="E242" s="21"/>
    </row>
    <row r="243" spans="1:6" ht="15" x14ac:dyDescent="0.25">
      <c r="A243" s="18" t="s">
        <v>242</v>
      </c>
      <c r="B243" s="18" t="s">
        <v>521</v>
      </c>
      <c r="C243" s="19">
        <v>30000</v>
      </c>
      <c r="D243" s="21"/>
      <c r="E243" s="21"/>
    </row>
    <row r="244" spans="1:6" ht="15" x14ac:dyDescent="0.25">
      <c r="A244" s="18" t="s">
        <v>246</v>
      </c>
      <c r="B244" s="18" t="s">
        <v>521</v>
      </c>
      <c r="C244" s="19">
        <v>90000</v>
      </c>
      <c r="D244" s="19">
        <v>90000</v>
      </c>
      <c r="E244" s="19">
        <v>45000</v>
      </c>
    </row>
    <row r="245" spans="1:6" ht="15" x14ac:dyDescent="0.25">
      <c r="A245" s="18" t="s">
        <v>248</v>
      </c>
      <c r="B245" s="18" t="s">
        <v>521</v>
      </c>
      <c r="C245" s="19">
        <v>200000</v>
      </c>
      <c r="D245" s="19">
        <v>40000</v>
      </c>
      <c r="E245" s="19">
        <v>20000</v>
      </c>
    </row>
    <row r="246" spans="1:6" ht="15" x14ac:dyDescent="0.25">
      <c r="A246" s="18" t="s">
        <v>253</v>
      </c>
      <c r="B246" s="18" t="s">
        <v>521</v>
      </c>
      <c r="C246" s="21"/>
      <c r="D246" s="19">
        <v>30000</v>
      </c>
      <c r="E246" s="19">
        <v>100000</v>
      </c>
    </row>
    <row r="247" spans="1:6" ht="15" x14ac:dyDescent="0.25">
      <c r="A247" s="18" t="s">
        <v>257</v>
      </c>
      <c r="B247" s="18" t="s">
        <v>521</v>
      </c>
      <c r="C247" s="21"/>
      <c r="D247" s="19">
        <v>350000</v>
      </c>
      <c r="E247" s="19">
        <v>0</v>
      </c>
    </row>
    <row r="248" spans="1:6" ht="15" x14ac:dyDescent="0.25">
      <c r="A248" s="18" t="s">
        <v>260</v>
      </c>
      <c r="B248" s="18" t="s">
        <v>521</v>
      </c>
      <c r="C248" s="19">
        <v>40000</v>
      </c>
      <c r="D248" s="19">
        <v>50000</v>
      </c>
      <c r="E248" s="21"/>
    </row>
    <row r="249" spans="1:6" ht="15" x14ac:dyDescent="0.25">
      <c r="A249" s="18" t="s">
        <v>261</v>
      </c>
      <c r="B249" s="18" t="s">
        <v>521</v>
      </c>
      <c r="C249" s="19">
        <v>30000</v>
      </c>
      <c r="D249" s="20"/>
      <c r="E249" s="20"/>
      <c r="F249" s="1"/>
    </row>
    <row r="250" spans="1:6" ht="15" x14ac:dyDescent="0.25">
      <c r="A250" s="18" t="s">
        <v>267</v>
      </c>
      <c r="B250" s="18" t="s">
        <v>521</v>
      </c>
      <c r="C250" s="19">
        <v>714460</v>
      </c>
      <c r="D250" s="19">
        <v>955000</v>
      </c>
      <c r="E250" s="22">
        <v>927000</v>
      </c>
    </row>
    <row r="251" spans="1:6" ht="15" x14ac:dyDescent="0.25">
      <c r="A251" s="18" t="s">
        <v>268</v>
      </c>
      <c r="B251" s="18" t="s">
        <v>521</v>
      </c>
      <c r="C251" s="19">
        <v>100000</v>
      </c>
      <c r="D251" s="21"/>
      <c r="E251" s="21"/>
    </row>
    <row r="252" spans="1:6" ht="15" x14ac:dyDescent="0.25">
      <c r="A252" s="18" t="s">
        <v>269</v>
      </c>
      <c r="B252" s="18" t="s">
        <v>521</v>
      </c>
      <c r="C252" s="19">
        <v>20000</v>
      </c>
      <c r="D252" s="20"/>
      <c r="E252" s="20"/>
      <c r="F252" s="1"/>
    </row>
    <row r="253" spans="1:6" ht="15" x14ac:dyDescent="0.25">
      <c r="A253" s="18" t="s">
        <v>121</v>
      </c>
      <c r="B253" s="18" t="s">
        <v>521</v>
      </c>
      <c r="C253" s="19">
        <v>280000</v>
      </c>
      <c r="D253" s="19">
        <v>600000</v>
      </c>
      <c r="E253" s="19">
        <v>375000</v>
      </c>
      <c r="F253" s="10"/>
    </row>
    <row r="254" spans="1:6" ht="15" x14ac:dyDescent="0.25">
      <c r="A254" s="18" t="s">
        <v>124</v>
      </c>
      <c r="B254" s="18" t="s">
        <v>521</v>
      </c>
      <c r="C254" s="21"/>
      <c r="D254" s="19">
        <v>180000</v>
      </c>
      <c r="E254" s="19">
        <v>60000</v>
      </c>
    </row>
    <row r="255" spans="1:6" ht="15" x14ac:dyDescent="0.25">
      <c r="A255" s="18" t="s">
        <v>128</v>
      </c>
      <c r="B255" s="18" t="s">
        <v>521</v>
      </c>
      <c r="C255" s="19">
        <v>4930000</v>
      </c>
      <c r="D255" s="19">
        <v>3650000</v>
      </c>
      <c r="E255" s="22">
        <v>800000</v>
      </c>
    </row>
    <row r="256" spans="1:6" ht="15" x14ac:dyDescent="0.25">
      <c r="A256" s="18" t="s">
        <v>129</v>
      </c>
      <c r="B256" s="18" t="s">
        <v>521</v>
      </c>
      <c r="C256" s="19">
        <v>0</v>
      </c>
      <c r="D256" s="22">
        <v>25000</v>
      </c>
      <c r="E256" s="22">
        <v>60000</v>
      </c>
    </row>
    <row r="257" spans="1:5" ht="15" x14ac:dyDescent="0.25">
      <c r="A257" s="18" t="s">
        <v>130</v>
      </c>
      <c r="B257" s="18" t="s">
        <v>521</v>
      </c>
      <c r="C257" s="19">
        <v>1072000</v>
      </c>
      <c r="D257" s="22">
        <v>1230000</v>
      </c>
      <c r="E257" s="22">
        <v>1470000</v>
      </c>
    </row>
    <row r="258" spans="1:5" ht="15" x14ac:dyDescent="0.25">
      <c r="A258" s="18" t="s">
        <v>135</v>
      </c>
      <c r="B258" s="18" t="s">
        <v>521</v>
      </c>
      <c r="C258" s="19">
        <v>6410000</v>
      </c>
      <c r="D258" s="19">
        <v>7612510</v>
      </c>
      <c r="E258" s="19">
        <v>8245000</v>
      </c>
    </row>
    <row r="259" spans="1:5" ht="15" x14ac:dyDescent="0.25">
      <c r="A259" s="18" t="s">
        <v>137</v>
      </c>
      <c r="B259" s="18" t="s">
        <v>521</v>
      </c>
      <c r="C259" s="19">
        <v>0</v>
      </c>
      <c r="D259" s="21"/>
      <c r="E259" s="21"/>
    </row>
    <row r="260" spans="1:5" ht="15" x14ac:dyDescent="0.25">
      <c r="A260" s="18" t="s">
        <v>138</v>
      </c>
      <c r="B260" s="18" t="s">
        <v>521</v>
      </c>
      <c r="C260" s="19">
        <v>80000</v>
      </c>
      <c r="D260" s="19">
        <v>120000</v>
      </c>
      <c r="E260" s="19">
        <v>90000</v>
      </c>
    </row>
    <row r="261" spans="1:5" ht="15" x14ac:dyDescent="0.25">
      <c r="A261" s="18" t="s">
        <v>139</v>
      </c>
      <c r="B261" s="18" t="s">
        <v>521</v>
      </c>
      <c r="C261" s="19">
        <v>360000</v>
      </c>
      <c r="D261" s="19">
        <v>280000</v>
      </c>
      <c r="E261" s="19">
        <v>200000</v>
      </c>
    </row>
    <row r="262" spans="1:5" ht="15" x14ac:dyDescent="0.25">
      <c r="A262" s="18" t="s">
        <v>140</v>
      </c>
      <c r="B262" s="18" t="s">
        <v>521</v>
      </c>
      <c r="C262" s="22">
        <v>1180000</v>
      </c>
      <c r="D262" s="19">
        <v>1280000</v>
      </c>
      <c r="E262" s="19">
        <v>1380000</v>
      </c>
    </row>
    <row r="263" spans="1:5" ht="15" x14ac:dyDescent="0.25">
      <c r="A263" s="18" t="s">
        <v>141</v>
      </c>
      <c r="B263" s="18" t="s">
        <v>521</v>
      </c>
      <c r="C263" s="19">
        <v>0</v>
      </c>
      <c r="D263" s="21"/>
      <c r="E263" s="21"/>
    </row>
    <row r="264" spans="1:5" ht="15" x14ac:dyDescent="0.25">
      <c r="A264" s="18" t="s">
        <v>144</v>
      </c>
      <c r="B264" s="18" t="s">
        <v>521</v>
      </c>
      <c r="C264" s="19">
        <v>30000</v>
      </c>
      <c r="D264" s="22">
        <v>20000</v>
      </c>
      <c r="E264" s="20"/>
    </row>
    <row r="265" spans="1:5" ht="15" x14ac:dyDescent="0.25">
      <c r="A265" s="18" t="s">
        <v>146</v>
      </c>
      <c r="B265" s="18" t="s">
        <v>521</v>
      </c>
      <c r="C265" s="19">
        <v>220000</v>
      </c>
      <c r="D265" s="22">
        <v>50000</v>
      </c>
      <c r="E265" s="22">
        <v>200000</v>
      </c>
    </row>
    <row r="266" spans="1:5" ht="15" x14ac:dyDescent="0.25">
      <c r="A266" s="18" t="s">
        <v>147</v>
      </c>
      <c r="B266" s="18" t="s">
        <v>521</v>
      </c>
      <c r="C266" s="19">
        <v>170000</v>
      </c>
      <c r="D266" s="22">
        <v>200000</v>
      </c>
      <c r="E266" s="19">
        <v>200000</v>
      </c>
    </row>
    <row r="267" spans="1:5" ht="15" x14ac:dyDescent="0.25">
      <c r="A267" s="18" t="s">
        <v>149</v>
      </c>
      <c r="B267" s="18" t="s">
        <v>521</v>
      </c>
      <c r="C267" s="19">
        <v>1300000</v>
      </c>
      <c r="D267" s="19">
        <v>1500000</v>
      </c>
      <c r="E267" s="19">
        <v>1742123</v>
      </c>
    </row>
    <row r="268" spans="1:5" ht="15" x14ac:dyDescent="0.25">
      <c r="A268" s="18" t="s">
        <v>150</v>
      </c>
      <c r="B268" s="18" t="s">
        <v>521</v>
      </c>
      <c r="C268" s="19">
        <v>725000</v>
      </c>
      <c r="D268" s="19">
        <v>880000</v>
      </c>
      <c r="E268" s="19">
        <v>980000</v>
      </c>
    </row>
    <row r="269" spans="1:5" ht="15" x14ac:dyDescent="0.25">
      <c r="A269" s="18" t="s">
        <v>151</v>
      </c>
      <c r="B269" s="18" t="s">
        <v>521</v>
      </c>
      <c r="C269" s="19">
        <v>0</v>
      </c>
      <c r="D269" s="19">
        <v>0</v>
      </c>
      <c r="E269" s="19">
        <v>0</v>
      </c>
    </row>
    <row r="270" spans="1:5" ht="15" x14ac:dyDescent="0.25">
      <c r="A270" s="18" t="s">
        <v>152</v>
      </c>
      <c r="B270" s="18" t="s">
        <v>521</v>
      </c>
      <c r="C270" s="19">
        <v>0</v>
      </c>
      <c r="D270" s="20"/>
      <c r="E270" s="20"/>
    </row>
    <row r="271" spans="1:5" ht="15" x14ac:dyDescent="0.25">
      <c r="A271" s="18" t="s">
        <v>153</v>
      </c>
      <c r="B271" s="18" t="s">
        <v>521</v>
      </c>
      <c r="C271" s="19">
        <v>200000</v>
      </c>
      <c r="D271" s="19">
        <v>30000</v>
      </c>
      <c r="E271" s="22">
        <v>80000</v>
      </c>
    </row>
    <row r="272" spans="1:5" ht="15" x14ac:dyDescent="0.25">
      <c r="A272" s="18" t="s">
        <v>155</v>
      </c>
      <c r="B272" s="18" t="s">
        <v>521</v>
      </c>
      <c r="C272" s="19">
        <v>80000</v>
      </c>
      <c r="D272" s="19">
        <v>50000</v>
      </c>
      <c r="E272" s="19">
        <v>55000</v>
      </c>
    </row>
    <row r="273" spans="1:5" ht="15" x14ac:dyDescent="0.25">
      <c r="A273" s="18" t="s">
        <v>329</v>
      </c>
      <c r="B273" s="18" t="s">
        <v>521</v>
      </c>
      <c r="C273" s="19">
        <v>6145670</v>
      </c>
      <c r="D273" s="22">
        <v>6498000</v>
      </c>
      <c r="E273" s="22">
        <v>6599136</v>
      </c>
    </row>
    <row r="274" spans="1:5" ht="15" x14ac:dyDescent="0.25">
      <c r="A274" s="18" t="s">
        <v>330</v>
      </c>
      <c r="B274" s="18" t="s">
        <v>521</v>
      </c>
      <c r="C274" s="19">
        <v>50000</v>
      </c>
      <c r="D274" s="22">
        <v>80000</v>
      </c>
      <c r="E274" s="22">
        <v>80000</v>
      </c>
    </row>
    <row r="275" spans="1:5" ht="15" x14ac:dyDescent="0.25">
      <c r="A275" s="18" t="s">
        <v>331</v>
      </c>
      <c r="B275" s="18" t="s">
        <v>521</v>
      </c>
      <c r="C275" s="19">
        <v>110000</v>
      </c>
      <c r="D275" s="19">
        <v>120000</v>
      </c>
      <c r="E275" s="19">
        <v>60000</v>
      </c>
    </row>
    <row r="276" spans="1:5" ht="15" x14ac:dyDescent="0.25">
      <c r="A276" s="18" t="s">
        <v>333</v>
      </c>
      <c r="B276" s="18" t="s">
        <v>521</v>
      </c>
      <c r="C276" s="19">
        <v>1725000</v>
      </c>
      <c r="D276" s="19">
        <v>1815000</v>
      </c>
      <c r="E276" s="19">
        <v>2686000</v>
      </c>
    </row>
    <row r="277" spans="1:5" ht="15" x14ac:dyDescent="0.25">
      <c r="A277" s="18" t="s">
        <v>335</v>
      </c>
      <c r="B277" s="18" t="s">
        <v>521</v>
      </c>
      <c r="C277" s="19">
        <v>240000</v>
      </c>
      <c r="D277" s="22">
        <v>0</v>
      </c>
      <c r="E277" s="20"/>
    </row>
    <row r="278" spans="1:5" ht="15" x14ac:dyDescent="0.25">
      <c r="A278" s="18" t="s">
        <v>338</v>
      </c>
      <c r="B278" s="18" t="s">
        <v>521</v>
      </c>
      <c r="C278" s="19">
        <v>100000</v>
      </c>
      <c r="D278" s="19">
        <v>10000</v>
      </c>
      <c r="E278" s="19">
        <v>20000</v>
      </c>
    </row>
    <row r="279" spans="1:5" ht="15" x14ac:dyDescent="0.25">
      <c r="A279" s="18" t="s">
        <v>340</v>
      </c>
      <c r="B279" s="18" t="s">
        <v>521</v>
      </c>
      <c r="C279" s="19">
        <v>20000</v>
      </c>
      <c r="D279" s="19">
        <v>0</v>
      </c>
      <c r="E279" s="21"/>
    </row>
    <row r="280" spans="1:5" ht="15" x14ac:dyDescent="0.25">
      <c r="A280" s="18" t="s">
        <v>345</v>
      </c>
      <c r="B280" s="18" t="s">
        <v>521</v>
      </c>
      <c r="C280" s="19">
        <v>480000</v>
      </c>
      <c r="D280" s="19">
        <v>450000</v>
      </c>
      <c r="E280" s="21"/>
    </row>
    <row r="281" spans="1:5" ht="15" x14ac:dyDescent="0.25">
      <c r="A281" s="18" t="s">
        <v>346</v>
      </c>
      <c r="B281" s="18" t="s">
        <v>521</v>
      </c>
      <c r="C281" s="19">
        <v>40000</v>
      </c>
      <c r="D281" s="21"/>
      <c r="E281" s="20"/>
    </row>
    <row r="282" spans="1:5" ht="15" x14ac:dyDescent="0.25">
      <c r="A282" s="18" t="s">
        <v>347</v>
      </c>
      <c r="B282" s="18" t="s">
        <v>521</v>
      </c>
      <c r="C282" s="19">
        <v>150000</v>
      </c>
      <c r="D282" s="19">
        <v>140000</v>
      </c>
      <c r="E282" s="19">
        <v>70000</v>
      </c>
    </row>
    <row r="283" spans="1:5" ht="15" x14ac:dyDescent="0.25">
      <c r="A283" s="18" t="s">
        <v>348</v>
      </c>
      <c r="B283" s="18" t="s">
        <v>521</v>
      </c>
      <c r="C283" s="19">
        <v>50000</v>
      </c>
      <c r="D283" s="21"/>
      <c r="E283" s="21"/>
    </row>
    <row r="284" spans="1:5" ht="15" x14ac:dyDescent="0.25">
      <c r="A284" s="18" t="s">
        <v>350</v>
      </c>
      <c r="B284" s="18" t="s">
        <v>521</v>
      </c>
      <c r="C284" s="19">
        <v>0</v>
      </c>
      <c r="D284" s="21"/>
      <c r="E284" s="21"/>
    </row>
    <row r="285" spans="1:5" ht="15" x14ac:dyDescent="0.25">
      <c r="A285" s="18" t="s">
        <v>351</v>
      </c>
      <c r="B285" s="18" t="s">
        <v>521</v>
      </c>
      <c r="C285" s="19">
        <v>30000</v>
      </c>
      <c r="D285" s="19">
        <v>230000</v>
      </c>
      <c r="E285" s="19">
        <v>80000</v>
      </c>
    </row>
    <row r="286" spans="1:5" ht="15" x14ac:dyDescent="0.25">
      <c r="A286" s="18" t="s">
        <v>352</v>
      </c>
      <c r="B286" s="18" t="s">
        <v>521</v>
      </c>
      <c r="C286" s="19">
        <v>120000</v>
      </c>
      <c r="D286" s="19">
        <v>0</v>
      </c>
      <c r="E286" s="21"/>
    </row>
    <row r="287" spans="1:5" ht="15" x14ac:dyDescent="0.25">
      <c r="A287" s="18" t="s">
        <v>356</v>
      </c>
      <c r="B287" s="18" t="s">
        <v>521</v>
      </c>
      <c r="C287" s="19">
        <v>72000</v>
      </c>
      <c r="D287" s="19">
        <v>72000</v>
      </c>
      <c r="E287" s="19">
        <v>248000</v>
      </c>
    </row>
    <row r="288" spans="1:5" ht="15" x14ac:dyDescent="0.25">
      <c r="A288" s="18" t="s">
        <v>357</v>
      </c>
      <c r="B288" s="18" t="s">
        <v>521</v>
      </c>
      <c r="C288" s="19">
        <v>23130000</v>
      </c>
      <c r="D288" s="19">
        <v>13330000</v>
      </c>
      <c r="E288" s="22">
        <v>12400000</v>
      </c>
    </row>
    <row r="289" spans="1:5" ht="15" x14ac:dyDescent="0.25">
      <c r="A289" s="18" t="s">
        <v>358</v>
      </c>
      <c r="B289" s="18" t="s">
        <v>521</v>
      </c>
      <c r="C289" s="19">
        <v>490000</v>
      </c>
      <c r="D289" s="19">
        <v>403750</v>
      </c>
      <c r="E289" s="19">
        <v>430000</v>
      </c>
    </row>
    <row r="290" spans="1:5" ht="15" x14ac:dyDescent="0.25">
      <c r="A290" s="18" t="s">
        <v>359</v>
      </c>
      <c r="B290" s="18" t="s">
        <v>521</v>
      </c>
      <c r="C290" s="22">
        <v>1375338</v>
      </c>
      <c r="D290" s="19">
        <v>2274372</v>
      </c>
      <c r="E290" s="19">
        <v>1941516</v>
      </c>
    </row>
    <row r="291" spans="1:5" ht="15" x14ac:dyDescent="0.25">
      <c r="A291" s="18" t="s">
        <v>189</v>
      </c>
      <c r="B291" s="18" t="s">
        <v>521</v>
      </c>
      <c r="C291" s="19">
        <v>26150520</v>
      </c>
      <c r="D291" s="19">
        <v>21740000</v>
      </c>
      <c r="E291" s="19">
        <v>18790000</v>
      </c>
    </row>
    <row r="292" spans="1:5" ht="15" x14ac:dyDescent="0.25">
      <c r="A292" s="18" t="s">
        <v>190</v>
      </c>
      <c r="B292" s="18" t="s">
        <v>521</v>
      </c>
      <c r="C292" s="19">
        <v>10000</v>
      </c>
      <c r="D292" s="21"/>
      <c r="E292" s="21"/>
    </row>
    <row r="293" spans="1:5" ht="15" x14ac:dyDescent="0.25">
      <c r="A293" s="18" t="s">
        <v>193</v>
      </c>
      <c r="B293" s="18" t="s">
        <v>521</v>
      </c>
      <c r="C293" s="19">
        <v>660000</v>
      </c>
      <c r="D293" s="19">
        <v>920000</v>
      </c>
      <c r="E293" s="19">
        <v>880000</v>
      </c>
    </row>
    <row r="294" spans="1:5" ht="15" x14ac:dyDescent="0.25">
      <c r="A294" s="18" t="s">
        <v>196</v>
      </c>
      <c r="B294" s="18" t="s">
        <v>521</v>
      </c>
      <c r="C294" s="19">
        <v>0</v>
      </c>
      <c r="D294" s="20"/>
      <c r="E294" s="20"/>
    </row>
    <row r="295" spans="1:5" ht="15" x14ac:dyDescent="0.25">
      <c r="A295" s="18" t="s">
        <v>197</v>
      </c>
      <c r="B295" s="18" t="s">
        <v>521</v>
      </c>
      <c r="C295" s="19">
        <v>0</v>
      </c>
      <c r="D295" s="21"/>
      <c r="E295" s="21"/>
    </row>
    <row r="296" spans="1:5" ht="15" x14ac:dyDescent="0.25">
      <c r="A296" s="18" t="s">
        <v>198</v>
      </c>
      <c r="B296" s="18" t="s">
        <v>521</v>
      </c>
      <c r="C296" s="19">
        <v>64000</v>
      </c>
      <c r="D296" s="22">
        <v>65000</v>
      </c>
      <c r="E296" s="22">
        <v>0</v>
      </c>
    </row>
    <row r="297" spans="1:5" ht="15" x14ac:dyDescent="0.25">
      <c r="A297" s="18" t="s">
        <v>199</v>
      </c>
      <c r="B297" s="18" t="s">
        <v>521</v>
      </c>
      <c r="C297" s="22">
        <v>775000</v>
      </c>
      <c r="D297" s="19">
        <v>880000</v>
      </c>
      <c r="E297" s="19">
        <v>395000</v>
      </c>
    </row>
    <row r="298" spans="1:5" ht="15" x14ac:dyDescent="0.25">
      <c r="A298" s="18" t="s">
        <v>201</v>
      </c>
      <c r="B298" s="18" t="s">
        <v>521</v>
      </c>
      <c r="C298" s="19">
        <v>240000</v>
      </c>
      <c r="D298" s="22">
        <v>320000</v>
      </c>
      <c r="E298" s="22">
        <v>110000</v>
      </c>
    </row>
    <row r="299" spans="1:5" ht="15" x14ac:dyDescent="0.25">
      <c r="A299" s="18" t="s">
        <v>202</v>
      </c>
      <c r="B299" s="18" t="s">
        <v>521</v>
      </c>
      <c r="C299" s="21"/>
      <c r="D299" s="22">
        <v>530000</v>
      </c>
      <c r="E299" s="22">
        <v>700000</v>
      </c>
    </row>
    <row r="300" spans="1:5" ht="15" x14ac:dyDescent="0.25">
      <c r="A300" s="18" t="s">
        <v>209</v>
      </c>
      <c r="B300" s="18" t="s">
        <v>521</v>
      </c>
      <c r="C300" s="19">
        <v>222000</v>
      </c>
      <c r="D300" s="22">
        <v>140000</v>
      </c>
      <c r="E300" s="22">
        <v>160000</v>
      </c>
    </row>
    <row r="301" spans="1:5" ht="15" x14ac:dyDescent="0.25">
      <c r="A301" s="18" t="s">
        <v>210</v>
      </c>
      <c r="B301" s="18" t="s">
        <v>521</v>
      </c>
      <c r="C301" s="19">
        <v>0</v>
      </c>
      <c r="D301" s="21"/>
      <c r="E301" s="21"/>
    </row>
    <row r="302" spans="1:5" ht="15" x14ac:dyDescent="0.25">
      <c r="A302" s="18" t="s">
        <v>212</v>
      </c>
      <c r="B302" s="18" t="s">
        <v>521</v>
      </c>
      <c r="C302" s="19">
        <v>69400</v>
      </c>
      <c r="D302" s="19">
        <v>60000</v>
      </c>
      <c r="E302" s="19">
        <v>80000</v>
      </c>
    </row>
    <row r="303" spans="1:5" ht="15" x14ac:dyDescent="0.25">
      <c r="A303" s="18" t="s">
        <v>214</v>
      </c>
      <c r="B303" s="18" t="s">
        <v>521</v>
      </c>
      <c r="C303" s="19">
        <v>0</v>
      </c>
      <c r="D303" s="21"/>
      <c r="E303" s="21"/>
    </row>
    <row r="304" spans="1:5" ht="15" x14ac:dyDescent="0.25">
      <c r="A304" s="18" t="s">
        <v>215</v>
      </c>
      <c r="B304" s="18" t="s">
        <v>521</v>
      </c>
      <c r="C304" s="19">
        <v>2412000</v>
      </c>
      <c r="D304" s="19">
        <v>2793000</v>
      </c>
      <c r="E304" s="22">
        <v>674000</v>
      </c>
    </row>
    <row r="305" spans="1:5" ht="15" x14ac:dyDescent="0.25">
      <c r="A305" s="18" t="s">
        <v>216</v>
      </c>
      <c r="B305" s="18" t="s">
        <v>521</v>
      </c>
      <c r="C305" s="19">
        <v>5940000</v>
      </c>
      <c r="D305" s="19">
        <v>4780000</v>
      </c>
      <c r="E305" s="19">
        <v>4600000</v>
      </c>
    </row>
    <row r="306" spans="1:5" ht="15" x14ac:dyDescent="0.25">
      <c r="A306" s="18" t="s">
        <v>218</v>
      </c>
      <c r="B306" s="18" t="s">
        <v>521</v>
      </c>
      <c r="C306" s="19">
        <v>1810000</v>
      </c>
      <c r="D306" s="22">
        <v>0</v>
      </c>
      <c r="E306" s="22">
        <v>0</v>
      </c>
    </row>
    <row r="307" spans="1:5" ht="15" x14ac:dyDescent="0.25">
      <c r="A307" s="18" t="s">
        <v>221</v>
      </c>
      <c r="B307" s="18" t="s">
        <v>521</v>
      </c>
      <c r="C307" s="19">
        <v>94400</v>
      </c>
      <c r="D307" s="22">
        <v>10000</v>
      </c>
      <c r="E307" s="20"/>
    </row>
    <row r="308" spans="1:5" ht="15" x14ac:dyDescent="0.25">
      <c r="A308" s="18" t="s">
        <v>222</v>
      </c>
      <c r="B308" s="18" t="s">
        <v>521</v>
      </c>
      <c r="C308" s="19">
        <v>877540</v>
      </c>
      <c r="D308" s="19">
        <v>60000</v>
      </c>
      <c r="E308" s="19">
        <v>210000</v>
      </c>
    </row>
    <row r="309" spans="1:5" ht="15" x14ac:dyDescent="0.25">
      <c r="A309" s="18" t="s">
        <v>223</v>
      </c>
      <c r="B309" s="18" t="s">
        <v>521</v>
      </c>
      <c r="C309" s="19">
        <v>450000</v>
      </c>
      <c r="D309" s="19">
        <v>440000</v>
      </c>
      <c r="E309" s="19">
        <v>370000</v>
      </c>
    </row>
    <row r="310" spans="1:5" ht="15" x14ac:dyDescent="0.25">
      <c r="A310" s="18" t="s">
        <v>224</v>
      </c>
      <c r="B310" s="18" t="s">
        <v>521</v>
      </c>
      <c r="C310" s="19">
        <v>260000</v>
      </c>
      <c r="D310" s="22">
        <v>160000</v>
      </c>
      <c r="E310" s="22">
        <v>160000</v>
      </c>
    </row>
    <row r="311" spans="1:5" ht="15" x14ac:dyDescent="0.25">
      <c r="A311" s="18" t="s">
        <v>226</v>
      </c>
      <c r="B311" s="18" t="s">
        <v>521</v>
      </c>
      <c r="C311" s="19">
        <v>0</v>
      </c>
      <c r="D311" s="19">
        <v>30000</v>
      </c>
      <c r="E311" s="22">
        <v>50000</v>
      </c>
    </row>
    <row r="312" spans="1:5" ht="15" x14ac:dyDescent="0.25">
      <c r="A312" s="18" t="s">
        <v>227</v>
      </c>
      <c r="B312" s="18" t="s">
        <v>521</v>
      </c>
      <c r="C312" s="22">
        <v>0</v>
      </c>
      <c r="D312" s="19">
        <v>0</v>
      </c>
      <c r="E312" s="21"/>
    </row>
    <row r="313" spans="1:5" ht="15" x14ac:dyDescent="0.25">
      <c r="A313" s="18" t="s">
        <v>232</v>
      </c>
      <c r="B313" s="18" t="s">
        <v>521</v>
      </c>
      <c r="C313" s="19">
        <v>80000</v>
      </c>
      <c r="D313" s="19">
        <v>20000</v>
      </c>
      <c r="E313" s="19">
        <v>0</v>
      </c>
    </row>
    <row r="314" spans="1:5" ht="15" x14ac:dyDescent="0.25">
      <c r="A314" s="18" t="s">
        <v>233</v>
      </c>
      <c r="B314" s="18" t="s">
        <v>521</v>
      </c>
      <c r="C314" s="19">
        <v>0</v>
      </c>
      <c r="D314" s="21"/>
      <c r="E314" s="20"/>
    </row>
    <row r="315" spans="1:5" ht="15" x14ac:dyDescent="0.25">
      <c r="A315" s="18" t="s">
        <v>235</v>
      </c>
      <c r="B315" s="18" t="s">
        <v>521</v>
      </c>
      <c r="C315" s="19">
        <v>0</v>
      </c>
      <c r="D315" s="21"/>
      <c r="E315" s="20"/>
    </row>
    <row r="316" spans="1:5" ht="15" x14ac:dyDescent="0.25">
      <c r="A316" s="18" t="s">
        <v>236</v>
      </c>
      <c r="B316" s="18" t="s">
        <v>521</v>
      </c>
      <c r="C316" s="21"/>
      <c r="D316" s="19">
        <v>815904</v>
      </c>
      <c r="E316" s="19">
        <v>1290000</v>
      </c>
    </row>
    <row r="317" spans="1:5" ht="15" x14ac:dyDescent="0.25">
      <c r="A317" s="18" t="s">
        <v>422</v>
      </c>
      <c r="B317" s="18" t="s">
        <v>521</v>
      </c>
      <c r="C317" s="19">
        <v>0</v>
      </c>
      <c r="D317" s="21"/>
      <c r="E317" s="21"/>
    </row>
    <row r="318" spans="1:5" ht="15" x14ac:dyDescent="0.25">
      <c r="A318" s="18" t="s">
        <v>423</v>
      </c>
      <c r="B318" s="18" t="s">
        <v>521</v>
      </c>
      <c r="C318" s="19">
        <v>1544295</v>
      </c>
      <c r="D318" s="22">
        <v>1681094</v>
      </c>
      <c r="E318" s="22">
        <v>1620000</v>
      </c>
    </row>
    <row r="319" spans="1:5" ht="15" x14ac:dyDescent="0.25">
      <c r="A319" s="18" t="s">
        <v>424</v>
      </c>
      <c r="B319" s="18" t="s">
        <v>521</v>
      </c>
      <c r="C319" s="19">
        <v>30000</v>
      </c>
      <c r="D319" s="19">
        <v>80000</v>
      </c>
      <c r="E319" s="19">
        <v>0</v>
      </c>
    </row>
    <row r="320" spans="1:5" ht="15" x14ac:dyDescent="0.25">
      <c r="A320" s="18" t="s">
        <v>425</v>
      </c>
      <c r="B320" s="18" t="s">
        <v>521</v>
      </c>
      <c r="C320" s="19">
        <v>60000</v>
      </c>
      <c r="D320" s="19">
        <v>60000</v>
      </c>
      <c r="E320" s="20"/>
    </row>
    <row r="321" spans="1:7" ht="15" x14ac:dyDescent="0.25">
      <c r="A321" s="18" t="s">
        <v>426</v>
      </c>
      <c r="B321" s="18" t="s">
        <v>521</v>
      </c>
      <c r="C321" s="19">
        <v>3340000</v>
      </c>
      <c r="D321" s="19">
        <v>2890000</v>
      </c>
      <c r="E321" s="19">
        <v>3450000</v>
      </c>
    </row>
    <row r="322" spans="1:7" ht="15" x14ac:dyDescent="0.25">
      <c r="A322" s="18" t="s">
        <v>432</v>
      </c>
      <c r="B322" s="18" t="s">
        <v>521</v>
      </c>
      <c r="C322" s="19">
        <v>40000</v>
      </c>
      <c r="D322" s="22">
        <v>0</v>
      </c>
      <c r="E322" s="20"/>
    </row>
    <row r="323" spans="1:7" ht="15" x14ac:dyDescent="0.25">
      <c r="A323" s="18" t="s">
        <v>434</v>
      </c>
      <c r="B323" s="18" t="s">
        <v>521</v>
      </c>
      <c r="C323" s="19">
        <v>140000</v>
      </c>
      <c r="D323" s="19">
        <v>60000</v>
      </c>
      <c r="E323" s="19">
        <v>30000</v>
      </c>
    </row>
    <row r="324" spans="1:7" ht="15" x14ac:dyDescent="0.25">
      <c r="A324" s="18" t="s">
        <v>436</v>
      </c>
      <c r="B324" s="18" t="s">
        <v>521</v>
      </c>
      <c r="C324" s="19">
        <v>130000</v>
      </c>
      <c r="D324" s="19">
        <v>0</v>
      </c>
      <c r="E324" s="20"/>
    </row>
    <row r="325" spans="1:7" ht="15" x14ac:dyDescent="0.25">
      <c r="A325" s="18" t="s">
        <v>438</v>
      </c>
      <c r="B325" s="18" t="s">
        <v>521</v>
      </c>
      <c r="C325" s="19">
        <v>0</v>
      </c>
      <c r="D325" s="19">
        <v>0</v>
      </c>
      <c r="E325" s="19">
        <v>0</v>
      </c>
    </row>
    <row r="326" spans="1:7" ht="15" x14ac:dyDescent="0.25">
      <c r="A326" s="18" t="s">
        <v>439</v>
      </c>
      <c r="B326" s="18" t="s">
        <v>521</v>
      </c>
      <c r="C326" s="19">
        <v>60000</v>
      </c>
      <c r="D326" s="21"/>
      <c r="E326" s="21"/>
    </row>
    <row r="327" spans="1:7" ht="15" x14ac:dyDescent="0.25">
      <c r="A327" s="18" t="s">
        <v>440</v>
      </c>
      <c r="B327" s="18" t="s">
        <v>521</v>
      </c>
      <c r="C327" s="19">
        <v>560000</v>
      </c>
      <c r="D327" s="19">
        <v>980000</v>
      </c>
      <c r="E327" s="22">
        <v>1750000</v>
      </c>
    </row>
    <row r="328" spans="1:7" ht="15" x14ac:dyDescent="0.25">
      <c r="A328" s="18" t="s">
        <v>443</v>
      </c>
      <c r="B328" s="18" t="s">
        <v>521</v>
      </c>
      <c r="C328" s="19">
        <v>0</v>
      </c>
      <c r="D328" s="20"/>
      <c r="E328" s="20"/>
    </row>
    <row r="329" spans="1:7" ht="15" x14ac:dyDescent="0.25">
      <c r="A329" s="18" t="s">
        <v>444</v>
      </c>
      <c r="B329" s="18" t="s">
        <v>521</v>
      </c>
      <c r="C329" s="19">
        <v>100000</v>
      </c>
      <c r="D329" s="19">
        <v>320000</v>
      </c>
      <c r="E329" s="19">
        <v>320000</v>
      </c>
    </row>
    <row r="330" spans="1:7" ht="15" x14ac:dyDescent="0.25">
      <c r="A330" s="18" t="s">
        <v>446</v>
      </c>
      <c r="B330" s="18" t="s">
        <v>521</v>
      </c>
      <c r="C330" s="19">
        <v>1130000</v>
      </c>
      <c r="D330" s="19">
        <v>1570000</v>
      </c>
      <c r="E330" s="19">
        <v>2220000</v>
      </c>
    </row>
    <row r="331" spans="1:7" ht="15" x14ac:dyDescent="0.25">
      <c r="A331" s="18" t="s">
        <v>449</v>
      </c>
      <c r="B331" s="18" t="s">
        <v>521</v>
      </c>
      <c r="C331" s="19">
        <v>2689268</v>
      </c>
      <c r="D331" s="21"/>
      <c r="E331" s="21"/>
      <c r="F331" s="1"/>
    </row>
    <row r="332" spans="1:7" ht="15" x14ac:dyDescent="0.25">
      <c r="A332" s="18" t="s">
        <v>450</v>
      </c>
      <c r="B332" s="18" t="s">
        <v>521</v>
      </c>
      <c r="C332" s="19">
        <v>410000</v>
      </c>
      <c r="D332" s="19">
        <v>340000</v>
      </c>
      <c r="E332" s="19">
        <v>210000</v>
      </c>
      <c r="F332" s="10"/>
    </row>
    <row r="333" spans="1:7" ht="15" x14ac:dyDescent="0.25">
      <c r="A333" s="18" t="s">
        <v>451</v>
      </c>
      <c r="B333" s="18" t="s">
        <v>521</v>
      </c>
      <c r="C333" s="19">
        <v>90000</v>
      </c>
      <c r="D333" s="19">
        <v>150000</v>
      </c>
      <c r="E333" s="19">
        <v>20000</v>
      </c>
      <c r="F333" s="1"/>
      <c r="G333" s="1"/>
    </row>
    <row r="334" spans="1:7" x14ac:dyDescent="0.2">
      <c r="F334" s="10"/>
    </row>
    <row r="335" spans="1:7" x14ac:dyDescent="0.2">
      <c r="A335" s="1" t="s">
        <v>517</v>
      </c>
      <c r="C335" s="10">
        <f>SUM(C2:C333)</f>
        <v>216865598</v>
      </c>
      <c r="D335" s="10">
        <f>SUM(D2:D333)</f>
        <v>183886721</v>
      </c>
      <c r="E335" s="10">
        <f>SUM(E2:E333)</f>
        <v>173767002</v>
      </c>
    </row>
    <row r="336" spans="1:7" x14ac:dyDescent="0.2">
      <c r="F336" s="1"/>
    </row>
    <row r="337" spans="1:6" x14ac:dyDescent="0.2">
      <c r="F337" s="10"/>
    </row>
    <row r="338" spans="1:6" x14ac:dyDescent="0.2">
      <c r="A338" s="1"/>
      <c r="C338" s="10"/>
    </row>
  </sheetData>
  <sortState ref="A2:F347">
    <sortCondition ref="B342"/>
  </sortState>
  <phoneticPr fontId="0" type="noConversion"/>
  <pageMargins left="0.75" right="0.75" top="1" bottom="1" header="0.5" footer="0.5"/>
  <pageSetup paperSize="3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155"/>
  <sheetViews>
    <sheetView tabSelected="1" zoomScale="85" zoomScaleNormal="85" workbookViewId="0">
      <selection activeCell="K91" sqref="K91"/>
    </sheetView>
  </sheetViews>
  <sheetFormatPr defaultRowHeight="12.75" x14ac:dyDescent="0.2"/>
  <cols>
    <col min="1" max="1" width="35.42578125" customWidth="1"/>
    <col min="2" max="2" width="14.42578125" bestFit="1" customWidth="1"/>
    <col min="3" max="4" width="13.42578125" bestFit="1" customWidth="1"/>
  </cols>
  <sheetData>
    <row r="1" spans="1:4" ht="15" x14ac:dyDescent="0.25">
      <c r="A1" s="25" t="s">
        <v>530</v>
      </c>
      <c r="B1" s="25" t="s">
        <v>94</v>
      </c>
      <c r="C1" s="25" t="s">
        <v>95</v>
      </c>
      <c r="D1" s="25" t="s">
        <v>520</v>
      </c>
    </row>
    <row r="2" spans="1:4" ht="15" x14ac:dyDescent="0.25">
      <c r="A2" s="26" t="s">
        <v>531</v>
      </c>
      <c r="B2" s="27">
        <v>80000</v>
      </c>
      <c r="C2" s="27">
        <v>50000</v>
      </c>
      <c r="D2" s="27">
        <v>20000</v>
      </c>
    </row>
    <row r="3" spans="1:4" ht="15" x14ac:dyDescent="0.25">
      <c r="A3" s="26" t="s">
        <v>532</v>
      </c>
      <c r="B3" s="27">
        <v>90000</v>
      </c>
      <c r="C3" s="27">
        <v>180000</v>
      </c>
      <c r="D3" s="27">
        <v>0</v>
      </c>
    </row>
    <row r="4" spans="1:4" ht="15" x14ac:dyDescent="0.25">
      <c r="A4" s="26" t="s">
        <v>533</v>
      </c>
      <c r="B4" s="27">
        <v>120000</v>
      </c>
      <c r="C4" s="27">
        <v>0</v>
      </c>
      <c r="D4" s="27">
        <v>132500</v>
      </c>
    </row>
    <row r="5" spans="1:4" ht="15" x14ac:dyDescent="0.25">
      <c r="A5" s="26" t="s">
        <v>534</v>
      </c>
      <c r="B5" s="27">
        <v>90000</v>
      </c>
      <c r="C5" s="27">
        <v>150000</v>
      </c>
      <c r="D5" s="27">
        <v>30000</v>
      </c>
    </row>
    <row r="6" spans="1:4" ht="15" x14ac:dyDescent="0.25">
      <c r="A6" s="26" t="s">
        <v>535</v>
      </c>
      <c r="B6" s="27">
        <v>40000</v>
      </c>
      <c r="C6" s="27">
        <v>50000</v>
      </c>
      <c r="D6" s="27">
        <v>40000</v>
      </c>
    </row>
    <row r="7" spans="1:4" ht="15" x14ac:dyDescent="0.25">
      <c r="A7" s="26" t="s">
        <v>536</v>
      </c>
      <c r="B7" s="27">
        <v>120000</v>
      </c>
      <c r="C7" s="27">
        <v>240000</v>
      </c>
      <c r="D7" s="27">
        <v>730000</v>
      </c>
    </row>
    <row r="8" spans="1:4" ht="15" x14ac:dyDescent="0.25">
      <c r="A8" s="26" t="s">
        <v>537</v>
      </c>
      <c r="B8" s="27">
        <v>0</v>
      </c>
      <c r="C8" s="27">
        <v>30000</v>
      </c>
      <c r="D8" s="27">
        <v>30000</v>
      </c>
    </row>
    <row r="9" spans="1:4" ht="15" x14ac:dyDescent="0.25">
      <c r="A9" s="26" t="s">
        <v>538</v>
      </c>
      <c r="B9" s="27">
        <v>0</v>
      </c>
      <c r="C9" s="27">
        <v>75000</v>
      </c>
      <c r="D9" s="27">
        <v>0</v>
      </c>
    </row>
    <row r="10" spans="1:4" ht="15" x14ac:dyDescent="0.25">
      <c r="A10" s="26" t="s">
        <v>539</v>
      </c>
      <c r="B10" s="27">
        <v>0</v>
      </c>
      <c r="C10" s="27">
        <v>40000</v>
      </c>
      <c r="D10" s="27">
        <v>10000</v>
      </c>
    </row>
    <row r="11" spans="1:4" ht="15" x14ac:dyDescent="0.25">
      <c r="A11" s="26" t="s">
        <v>540</v>
      </c>
      <c r="B11" s="27">
        <v>260000</v>
      </c>
      <c r="C11" s="27">
        <v>240000</v>
      </c>
      <c r="D11" s="27">
        <v>360000</v>
      </c>
    </row>
    <row r="12" spans="1:4" ht="15" x14ac:dyDescent="0.25">
      <c r="A12" s="26" t="s">
        <v>541</v>
      </c>
      <c r="B12" s="27">
        <v>20000</v>
      </c>
      <c r="C12" s="27">
        <v>0</v>
      </c>
      <c r="D12" s="27">
        <v>0</v>
      </c>
    </row>
    <row r="13" spans="1:4" ht="15" x14ac:dyDescent="0.25">
      <c r="A13" s="26" t="s">
        <v>542</v>
      </c>
      <c r="B13" s="27">
        <v>40000</v>
      </c>
      <c r="C13" s="27">
        <v>70000</v>
      </c>
      <c r="D13" s="27">
        <v>10000</v>
      </c>
    </row>
    <row r="14" spans="1:4" ht="15" x14ac:dyDescent="0.25">
      <c r="A14" s="26" t="s">
        <v>543</v>
      </c>
      <c r="B14" s="27">
        <v>60000</v>
      </c>
      <c r="C14" s="27">
        <v>0</v>
      </c>
      <c r="D14" s="27">
        <v>0</v>
      </c>
    </row>
    <row r="15" spans="1:4" ht="15" x14ac:dyDescent="0.25">
      <c r="A15" s="26" t="s">
        <v>544</v>
      </c>
      <c r="B15" s="27">
        <v>340000</v>
      </c>
      <c r="C15" s="27">
        <v>320000</v>
      </c>
      <c r="D15" s="27">
        <v>320000</v>
      </c>
    </row>
    <row r="16" spans="1:4" ht="15" x14ac:dyDescent="0.25">
      <c r="A16" s="26" t="s">
        <v>545</v>
      </c>
      <c r="B16" s="27">
        <v>5000</v>
      </c>
      <c r="C16" s="27">
        <v>0</v>
      </c>
      <c r="D16" s="27">
        <v>0</v>
      </c>
    </row>
    <row r="17" spans="1:4" ht="15" x14ac:dyDescent="0.25">
      <c r="A17" s="26" t="s">
        <v>546</v>
      </c>
      <c r="B17" s="27">
        <v>0</v>
      </c>
      <c r="C17" s="27">
        <v>0</v>
      </c>
      <c r="D17" s="27">
        <v>0</v>
      </c>
    </row>
    <row r="18" spans="1:4" ht="15" x14ac:dyDescent="0.25">
      <c r="A18" s="26" t="s">
        <v>547</v>
      </c>
      <c r="B18" s="27">
        <v>30000</v>
      </c>
      <c r="C18" s="27">
        <v>0</v>
      </c>
      <c r="D18" s="27">
        <v>0</v>
      </c>
    </row>
    <row r="19" spans="1:4" ht="15" x14ac:dyDescent="0.25">
      <c r="A19" s="26" t="s">
        <v>548</v>
      </c>
      <c r="B19" s="27">
        <v>80000</v>
      </c>
      <c r="C19" s="27">
        <v>140000</v>
      </c>
      <c r="D19" s="27">
        <v>140000</v>
      </c>
    </row>
    <row r="20" spans="1:4" ht="15" x14ac:dyDescent="0.25">
      <c r="A20" s="26" t="s">
        <v>549</v>
      </c>
      <c r="B20" s="27">
        <v>30000</v>
      </c>
      <c r="C20" s="27">
        <v>20000</v>
      </c>
      <c r="D20" s="27">
        <v>0</v>
      </c>
    </row>
    <row r="21" spans="1:4" ht="15" x14ac:dyDescent="0.25">
      <c r="A21" s="26" t="s">
        <v>550</v>
      </c>
      <c r="B21" s="27">
        <v>90000</v>
      </c>
      <c r="C21" s="27">
        <v>70000</v>
      </c>
      <c r="D21" s="27">
        <v>0</v>
      </c>
    </row>
    <row r="22" spans="1:4" ht="15" x14ac:dyDescent="0.25">
      <c r="A22" s="26" t="s">
        <v>551</v>
      </c>
      <c r="B22" s="27">
        <v>65000</v>
      </c>
      <c r="C22" s="27">
        <v>0</v>
      </c>
      <c r="D22" s="27">
        <v>0</v>
      </c>
    </row>
    <row r="23" spans="1:4" ht="15" x14ac:dyDescent="0.25">
      <c r="A23" s="26" t="s">
        <v>552</v>
      </c>
      <c r="B23" s="27">
        <v>20000</v>
      </c>
      <c r="C23" s="27">
        <v>0</v>
      </c>
      <c r="D23" s="27">
        <v>0</v>
      </c>
    </row>
    <row r="24" spans="1:4" ht="15" x14ac:dyDescent="0.25">
      <c r="A24" s="26" t="s">
        <v>553</v>
      </c>
      <c r="B24" s="27">
        <v>0</v>
      </c>
      <c r="C24" s="27">
        <v>114000</v>
      </c>
      <c r="D24" s="27">
        <v>0</v>
      </c>
    </row>
    <row r="25" spans="1:4" ht="15" x14ac:dyDescent="0.25">
      <c r="A25" s="26" t="s">
        <v>554</v>
      </c>
      <c r="B25" s="27">
        <v>0</v>
      </c>
      <c r="C25" s="27">
        <v>0</v>
      </c>
      <c r="D25" s="27">
        <v>0</v>
      </c>
    </row>
    <row r="26" spans="1:4" ht="15" x14ac:dyDescent="0.25">
      <c r="A26" s="26" t="s">
        <v>555</v>
      </c>
      <c r="B26" s="27">
        <v>30000</v>
      </c>
      <c r="C26" s="27">
        <v>10000</v>
      </c>
      <c r="D26" s="27">
        <v>40000</v>
      </c>
    </row>
    <row r="27" spans="1:4" ht="15" x14ac:dyDescent="0.25">
      <c r="A27" s="26" t="s">
        <v>556</v>
      </c>
      <c r="B27" s="27">
        <v>1230000</v>
      </c>
      <c r="C27" s="27">
        <v>1230000</v>
      </c>
      <c r="D27" s="27">
        <v>1810000</v>
      </c>
    </row>
    <row r="28" spans="1:4" ht="15" x14ac:dyDescent="0.25">
      <c r="A28" s="26" t="s">
        <v>557</v>
      </c>
      <c r="B28" s="27">
        <v>80000</v>
      </c>
      <c r="C28" s="27">
        <v>0</v>
      </c>
      <c r="D28" s="27">
        <v>0</v>
      </c>
    </row>
    <row r="29" spans="1:4" ht="15" x14ac:dyDescent="0.25">
      <c r="A29" s="26" t="s">
        <v>558</v>
      </c>
      <c r="B29" s="27">
        <v>90000</v>
      </c>
      <c r="C29" s="27">
        <v>80000</v>
      </c>
      <c r="D29" s="27">
        <v>30000</v>
      </c>
    </row>
    <row r="30" spans="1:4" ht="15" x14ac:dyDescent="0.25">
      <c r="A30" s="26" t="s">
        <v>559</v>
      </c>
      <c r="B30" s="27">
        <v>0</v>
      </c>
      <c r="C30" s="27">
        <v>0</v>
      </c>
      <c r="D30" s="27">
        <v>0</v>
      </c>
    </row>
    <row r="31" spans="1:4" ht="15" x14ac:dyDescent="0.25">
      <c r="A31" s="26" t="s">
        <v>560</v>
      </c>
      <c r="B31" s="27">
        <v>370000</v>
      </c>
      <c r="C31" s="27">
        <v>335000</v>
      </c>
      <c r="D31" s="27">
        <v>140000</v>
      </c>
    </row>
    <row r="32" spans="1:4" ht="30" x14ac:dyDescent="0.25">
      <c r="A32" s="26" t="s">
        <v>561</v>
      </c>
      <c r="B32" s="27">
        <v>160000</v>
      </c>
      <c r="C32" s="27">
        <v>160000</v>
      </c>
      <c r="D32" s="27">
        <v>90000</v>
      </c>
    </row>
    <row r="33" spans="1:4" ht="15" x14ac:dyDescent="0.25">
      <c r="A33" s="26" t="s">
        <v>562</v>
      </c>
      <c r="B33" s="27">
        <v>7360000</v>
      </c>
      <c r="C33" s="27">
        <v>8440000</v>
      </c>
      <c r="D33" s="27">
        <v>7990000</v>
      </c>
    </row>
    <row r="34" spans="1:4" ht="15" x14ac:dyDescent="0.25">
      <c r="A34" s="26" t="s">
        <v>563</v>
      </c>
      <c r="B34" s="27">
        <v>0</v>
      </c>
      <c r="C34" s="27">
        <v>20000</v>
      </c>
      <c r="D34" s="27">
        <v>10000</v>
      </c>
    </row>
    <row r="35" spans="1:4" ht="15" x14ac:dyDescent="0.25">
      <c r="A35" s="26" t="s">
        <v>564</v>
      </c>
      <c r="B35" s="27">
        <v>0</v>
      </c>
      <c r="C35" s="27">
        <v>0</v>
      </c>
      <c r="D35" s="27">
        <v>0</v>
      </c>
    </row>
    <row r="36" spans="1:4" ht="30" x14ac:dyDescent="0.25">
      <c r="A36" s="26" t="s">
        <v>565</v>
      </c>
      <c r="B36" s="27">
        <v>30000</v>
      </c>
      <c r="C36" s="27">
        <v>0</v>
      </c>
      <c r="D36" s="27">
        <v>0</v>
      </c>
    </row>
    <row r="37" spans="1:4" ht="30" x14ac:dyDescent="0.25">
      <c r="A37" s="26" t="s">
        <v>566</v>
      </c>
      <c r="B37" s="27">
        <v>45000</v>
      </c>
      <c r="C37" s="27">
        <v>60000</v>
      </c>
      <c r="D37" s="27">
        <v>30000</v>
      </c>
    </row>
    <row r="38" spans="1:4" ht="30" x14ac:dyDescent="0.25">
      <c r="A38" s="26" t="s">
        <v>567</v>
      </c>
      <c r="B38" s="27">
        <v>130000</v>
      </c>
      <c r="C38" s="27">
        <v>150000</v>
      </c>
      <c r="D38" s="27">
        <v>110000</v>
      </c>
    </row>
    <row r="39" spans="1:4" ht="15" x14ac:dyDescent="0.25">
      <c r="A39" s="26" t="s">
        <v>568</v>
      </c>
      <c r="B39" s="27">
        <v>360000</v>
      </c>
      <c r="C39" s="27">
        <v>220000</v>
      </c>
      <c r="D39" s="27">
        <v>0</v>
      </c>
    </row>
    <row r="40" spans="1:4" ht="15" x14ac:dyDescent="0.25">
      <c r="A40" s="26" t="s">
        <v>569</v>
      </c>
      <c r="B40" s="27">
        <v>120000</v>
      </c>
      <c r="C40" s="27">
        <v>180000</v>
      </c>
      <c r="D40" s="27">
        <v>120000</v>
      </c>
    </row>
    <row r="41" spans="1:4" ht="15" x14ac:dyDescent="0.25">
      <c r="A41" s="26" t="s">
        <v>570</v>
      </c>
      <c r="B41" s="27">
        <v>0</v>
      </c>
      <c r="C41" s="27">
        <v>10000</v>
      </c>
      <c r="D41" s="27">
        <v>0</v>
      </c>
    </row>
    <row r="42" spans="1:4" ht="15" x14ac:dyDescent="0.25">
      <c r="A42" s="26" t="s">
        <v>571</v>
      </c>
      <c r="B42" s="27">
        <v>80000</v>
      </c>
      <c r="C42" s="27">
        <v>80000</v>
      </c>
      <c r="D42" s="27">
        <v>40000</v>
      </c>
    </row>
    <row r="43" spans="1:4" ht="15" x14ac:dyDescent="0.25">
      <c r="A43" s="26" t="s">
        <v>572</v>
      </c>
      <c r="B43" s="27">
        <v>40000</v>
      </c>
      <c r="C43" s="27">
        <v>40000</v>
      </c>
      <c r="D43" s="27">
        <v>0</v>
      </c>
    </row>
    <row r="44" spans="1:4" ht="15" x14ac:dyDescent="0.25">
      <c r="A44" s="26" t="s">
        <v>573</v>
      </c>
      <c r="B44" s="27">
        <v>80000</v>
      </c>
      <c r="C44" s="27">
        <v>80000</v>
      </c>
      <c r="D44" s="27">
        <v>80000</v>
      </c>
    </row>
    <row r="45" spans="1:4" ht="15" x14ac:dyDescent="0.25">
      <c r="A45" s="26" t="s">
        <v>574</v>
      </c>
      <c r="B45" s="27">
        <v>70000</v>
      </c>
      <c r="C45" s="27">
        <v>120000</v>
      </c>
      <c r="D45" s="27">
        <v>120000</v>
      </c>
    </row>
    <row r="46" spans="1:4" ht="15" x14ac:dyDescent="0.25">
      <c r="A46" s="26" t="s">
        <v>575</v>
      </c>
      <c r="B46" s="27">
        <v>160000</v>
      </c>
      <c r="C46" s="27">
        <v>110000</v>
      </c>
      <c r="D46" s="27">
        <v>60000</v>
      </c>
    </row>
    <row r="47" spans="1:4" ht="15" x14ac:dyDescent="0.25">
      <c r="A47" s="26" t="s">
        <v>576</v>
      </c>
      <c r="B47" s="27">
        <v>180000</v>
      </c>
      <c r="C47" s="27">
        <v>80000</v>
      </c>
      <c r="D47" s="27">
        <v>80000</v>
      </c>
    </row>
    <row r="48" spans="1:4" ht="15" x14ac:dyDescent="0.25">
      <c r="A48" s="26" t="s">
        <v>577</v>
      </c>
      <c r="B48" s="27">
        <v>50000</v>
      </c>
      <c r="C48" s="27">
        <v>70000</v>
      </c>
      <c r="D48" s="27">
        <v>0</v>
      </c>
    </row>
    <row r="49" spans="1:4" ht="15" x14ac:dyDescent="0.25">
      <c r="A49" s="26" t="s">
        <v>578</v>
      </c>
      <c r="B49" s="27">
        <v>30000</v>
      </c>
      <c r="C49" s="27">
        <v>0</v>
      </c>
      <c r="D49" s="27">
        <v>0</v>
      </c>
    </row>
    <row r="50" spans="1:4" ht="30" x14ac:dyDescent="0.25">
      <c r="A50" s="26" t="s">
        <v>579</v>
      </c>
      <c r="B50" s="27">
        <v>33000</v>
      </c>
      <c r="C50" s="27">
        <v>10000</v>
      </c>
      <c r="D50" s="27">
        <v>5000</v>
      </c>
    </row>
    <row r="51" spans="1:4" ht="15" x14ac:dyDescent="0.25">
      <c r="A51" s="26" t="s">
        <v>580</v>
      </c>
      <c r="B51" s="27">
        <v>80000</v>
      </c>
      <c r="C51" s="27">
        <v>80000</v>
      </c>
      <c r="D51" s="27">
        <v>80000</v>
      </c>
    </row>
    <row r="52" spans="1:4" ht="15" x14ac:dyDescent="0.25">
      <c r="A52" s="26" t="s">
        <v>581</v>
      </c>
      <c r="B52" s="27">
        <v>50000</v>
      </c>
      <c r="C52" s="27">
        <v>30000</v>
      </c>
      <c r="D52" s="27">
        <v>30000</v>
      </c>
    </row>
    <row r="53" spans="1:4" ht="15" x14ac:dyDescent="0.25">
      <c r="A53" s="26" t="s">
        <v>582</v>
      </c>
      <c r="B53" s="27">
        <v>240000</v>
      </c>
      <c r="C53" s="27">
        <v>270000</v>
      </c>
      <c r="D53" s="27">
        <v>490000</v>
      </c>
    </row>
    <row r="54" spans="1:4" ht="15" x14ac:dyDescent="0.25">
      <c r="A54" s="26" t="s">
        <v>583</v>
      </c>
      <c r="B54" s="27">
        <v>43200</v>
      </c>
      <c r="C54" s="27">
        <v>0</v>
      </c>
      <c r="D54" s="27">
        <v>0</v>
      </c>
    </row>
    <row r="55" spans="1:4" ht="30" x14ac:dyDescent="0.25">
      <c r="A55" s="26" t="s">
        <v>584</v>
      </c>
      <c r="B55" s="27">
        <v>10000</v>
      </c>
      <c r="C55" s="27">
        <v>0</v>
      </c>
      <c r="D55" s="27">
        <v>0</v>
      </c>
    </row>
    <row r="56" spans="1:4" ht="15" x14ac:dyDescent="0.25">
      <c r="A56" s="26" t="s">
        <v>585</v>
      </c>
      <c r="B56" s="27">
        <v>0</v>
      </c>
      <c r="C56" s="27">
        <v>0</v>
      </c>
      <c r="D56" s="27">
        <v>0</v>
      </c>
    </row>
    <row r="57" spans="1:4" ht="15" x14ac:dyDescent="0.25">
      <c r="A57" s="26" t="s">
        <v>586</v>
      </c>
      <c r="B57" s="27">
        <v>0</v>
      </c>
      <c r="C57" s="27">
        <v>95000</v>
      </c>
      <c r="D57" s="27">
        <v>430000</v>
      </c>
    </row>
    <row r="58" spans="1:4" ht="15" x14ac:dyDescent="0.25">
      <c r="A58" s="26" t="s">
        <v>587</v>
      </c>
      <c r="B58" s="27">
        <v>0</v>
      </c>
      <c r="C58" s="27">
        <v>80000</v>
      </c>
      <c r="D58" s="27">
        <v>30000</v>
      </c>
    </row>
    <row r="59" spans="1:4" ht="15" x14ac:dyDescent="0.25">
      <c r="A59" s="26" t="s">
        <v>588</v>
      </c>
      <c r="B59" s="27">
        <v>0</v>
      </c>
      <c r="C59" s="27">
        <v>0</v>
      </c>
      <c r="D59" s="27">
        <v>60000</v>
      </c>
    </row>
    <row r="60" spans="1:4" ht="15" x14ac:dyDescent="0.25">
      <c r="A60" s="26" t="s">
        <v>589</v>
      </c>
      <c r="B60" s="27">
        <v>0</v>
      </c>
      <c r="C60" s="27">
        <v>0</v>
      </c>
      <c r="D60" s="27">
        <v>150000</v>
      </c>
    </row>
    <row r="61" spans="1:4" ht="15" x14ac:dyDescent="0.25">
      <c r="A61" s="26" t="s">
        <v>590</v>
      </c>
      <c r="B61" s="27">
        <v>20000</v>
      </c>
      <c r="C61" s="27">
        <v>70000</v>
      </c>
      <c r="D61" s="27">
        <v>60000</v>
      </c>
    </row>
    <row r="62" spans="1:4" ht="15" x14ac:dyDescent="0.25">
      <c r="A62" s="26" t="s">
        <v>591</v>
      </c>
      <c r="B62" s="27">
        <v>80000</v>
      </c>
      <c r="C62" s="27">
        <v>90000</v>
      </c>
      <c r="D62" s="27">
        <v>80000</v>
      </c>
    </row>
    <row r="63" spans="1:4" ht="15" x14ac:dyDescent="0.25">
      <c r="A63" s="26" t="s">
        <v>592</v>
      </c>
      <c r="B63" s="27">
        <v>90000</v>
      </c>
      <c r="C63" s="27">
        <v>70000</v>
      </c>
      <c r="D63" s="27">
        <v>0</v>
      </c>
    </row>
    <row r="64" spans="1:4" ht="15" x14ac:dyDescent="0.25">
      <c r="A64" s="26" t="s">
        <v>593</v>
      </c>
      <c r="B64" s="27">
        <v>394000</v>
      </c>
      <c r="C64" s="27">
        <v>190000</v>
      </c>
      <c r="D64" s="27">
        <v>0</v>
      </c>
    </row>
    <row r="65" spans="1:4" ht="15" x14ac:dyDescent="0.25">
      <c r="A65" s="26" t="s">
        <v>594</v>
      </c>
      <c r="B65" s="27">
        <v>50000</v>
      </c>
      <c r="C65" s="27">
        <v>80000</v>
      </c>
      <c r="D65" s="27">
        <v>80000</v>
      </c>
    </row>
    <row r="66" spans="1:4" ht="15" x14ac:dyDescent="0.25">
      <c r="A66" s="26" t="s">
        <v>595</v>
      </c>
      <c r="B66" s="27">
        <v>1100000</v>
      </c>
      <c r="C66" s="27">
        <v>960000</v>
      </c>
      <c r="D66" s="27">
        <v>540000</v>
      </c>
    </row>
    <row r="67" spans="1:4" ht="15" x14ac:dyDescent="0.25">
      <c r="A67" s="26" t="s">
        <v>596</v>
      </c>
      <c r="B67" s="27">
        <v>40000</v>
      </c>
      <c r="C67" s="27">
        <v>0</v>
      </c>
      <c r="D67" s="27">
        <v>0</v>
      </c>
    </row>
    <row r="68" spans="1:4" ht="15" x14ac:dyDescent="0.25">
      <c r="A68" s="26" t="s">
        <v>597</v>
      </c>
      <c r="B68" s="27">
        <v>3617000</v>
      </c>
      <c r="C68" s="27">
        <v>2652000</v>
      </c>
      <c r="D68" s="27">
        <v>1610040</v>
      </c>
    </row>
    <row r="69" spans="1:4" ht="15" x14ac:dyDescent="0.25">
      <c r="A69" s="26" t="s">
        <v>598</v>
      </c>
      <c r="B69" s="27">
        <v>60000</v>
      </c>
      <c r="C69" s="27">
        <v>60000</v>
      </c>
      <c r="D69" s="27">
        <v>0</v>
      </c>
    </row>
    <row r="70" spans="1:4" ht="15" x14ac:dyDescent="0.25">
      <c r="A70" s="26" t="s">
        <v>599</v>
      </c>
      <c r="B70" s="27">
        <v>1280000</v>
      </c>
      <c r="C70" s="27">
        <v>1520000</v>
      </c>
      <c r="D70" s="27">
        <v>1660000</v>
      </c>
    </row>
    <row r="71" spans="1:4" ht="15" x14ac:dyDescent="0.25">
      <c r="A71" s="26" t="s">
        <v>600</v>
      </c>
      <c r="B71" s="27">
        <v>20000</v>
      </c>
      <c r="C71" s="27">
        <v>0</v>
      </c>
      <c r="D71" s="27">
        <v>0</v>
      </c>
    </row>
    <row r="72" spans="1:4" ht="15" x14ac:dyDescent="0.25">
      <c r="A72" s="26" t="s">
        <v>601</v>
      </c>
      <c r="B72" s="27">
        <v>160000</v>
      </c>
      <c r="C72" s="27">
        <v>200000</v>
      </c>
      <c r="D72" s="27">
        <v>525000</v>
      </c>
    </row>
    <row r="73" spans="1:4" ht="15" x14ac:dyDescent="0.25">
      <c r="A73" s="26" t="s">
        <v>602</v>
      </c>
      <c r="B73" s="27">
        <v>30000</v>
      </c>
      <c r="C73" s="27">
        <v>0</v>
      </c>
      <c r="D73" s="27">
        <v>130000</v>
      </c>
    </row>
    <row r="74" spans="1:4" ht="15" x14ac:dyDescent="0.25">
      <c r="A74" s="26" t="s">
        <v>603</v>
      </c>
      <c r="B74" s="27">
        <v>10000</v>
      </c>
      <c r="C74" s="27">
        <v>0</v>
      </c>
      <c r="D74" s="27">
        <v>0</v>
      </c>
    </row>
    <row r="75" spans="1:4" ht="15" x14ac:dyDescent="0.25">
      <c r="A75" s="26" t="s">
        <v>604</v>
      </c>
      <c r="B75" s="27">
        <v>10000</v>
      </c>
      <c r="C75" s="27">
        <v>0</v>
      </c>
      <c r="D75" s="27">
        <v>0</v>
      </c>
    </row>
    <row r="76" spans="1:4" ht="15" x14ac:dyDescent="0.25">
      <c r="A76" s="26" t="s">
        <v>605</v>
      </c>
      <c r="B76" s="27">
        <v>30000</v>
      </c>
      <c r="C76" s="27">
        <v>80000</v>
      </c>
      <c r="D76" s="27">
        <v>40000</v>
      </c>
    </row>
    <row r="77" spans="1:4" ht="15" x14ac:dyDescent="0.25">
      <c r="A77" s="26" t="s">
        <v>606</v>
      </c>
      <c r="B77" s="27">
        <v>0</v>
      </c>
      <c r="C77" s="27">
        <v>0</v>
      </c>
      <c r="D77" s="27">
        <v>0</v>
      </c>
    </row>
    <row r="78" spans="1:4" ht="15" x14ac:dyDescent="0.25">
      <c r="A78" s="26" t="s">
        <v>607</v>
      </c>
      <c r="B78" s="27">
        <v>0</v>
      </c>
      <c r="C78" s="27">
        <v>0</v>
      </c>
      <c r="D78" s="27">
        <v>0</v>
      </c>
    </row>
    <row r="79" spans="1:4" ht="15" x14ac:dyDescent="0.25">
      <c r="A79" s="26" t="s">
        <v>608</v>
      </c>
      <c r="B79" s="27">
        <v>40000</v>
      </c>
      <c r="C79" s="27">
        <v>20000</v>
      </c>
      <c r="D79" s="27">
        <v>0</v>
      </c>
    </row>
    <row r="80" spans="1:4" ht="15" x14ac:dyDescent="0.25">
      <c r="A80" s="26" t="s">
        <v>609</v>
      </c>
      <c r="B80" s="27">
        <v>40000</v>
      </c>
      <c r="C80" s="27">
        <v>45000</v>
      </c>
      <c r="D80" s="27">
        <v>30000</v>
      </c>
    </row>
    <row r="81" spans="1:4" ht="15" x14ac:dyDescent="0.25">
      <c r="A81" s="26" t="s">
        <v>610</v>
      </c>
      <c r="B81" s="27">
        <v>0</v>
      </c>
      <c r="C81" s="27">
        <v>40000</v>
      </c>
      <c r="D81" s="27">
        <v>100000</v>
      </c>
    </row>
    <row r="82" spans="1:4" ht="15" x14ac:dyDescent="0.25">
      <c r="A82" s="26" t="s">
        <v>611</v>
      </c>
      <c r="B82" s="27">
        <v>80000</v>
      </c>
      <c r="C82" s="27">
        <v>80000</v>
      </c>
      <c r="D82" s="27">
        <v>70000</v>
      </c>
    </row>
    <row r="83" spans="1:4" ht="15" x14ac:dyDescent="0.25">
      <c r="A83" s="26" t="s">
        <v>612</v>
      </c>
      <c r="B83" s="27">
        <v>216000</v>
      </c>
      <c r="C83" s="27">
        <v>150000</v>
      </c>
      <c r="D83" s="27">
        <v>70000</v>
      </c>
    </row>
    <row r="84" spans="1:4" ht="15" x14ac:dyDescent="0.25">
      <c r="A84" s="26" t="s">
        <v>613</v>
      </c>
      <c r="B84" s="27">
        <v>0</v>
      </c>
      <c r="C84" s="27">
        <v>135000</v>
      </c>
      <c r="D84" s="27">
        <v>210000</v>
      </c>
    </row>
    <row r="85" spans="1:4" ht="15" x14ac:dyDescent="0.25">
      <c r="A85" s="26" t="s">
        <v>614</v>
      </c>
      <c r="B85" s="27">
        <v>90000</v>
      </c>
      <c r="C85" s="27">
        <v>40000</v>
      </c>
      <c r="D85" s="27">
        <v>40000</v>
      </c>
    </row>
    <row r="86" spans="1:4" ht="15" x14ac:dyDescent="0.25">
      <c r="A86" s="26" t="s">
        <v>615</v>
      </c>
      <c r="B86" s="27">
        <v>0</v>
      </c>
      <c r="C86" s="27">
        <v>0</v>
      </c>
      <c r="D86" s="27">
        <v>0</v>
      </c>
    </row>
    <row r="87" spans="1:4" ht="15" x14ac:dyDescent="0.25">
      <c r="A87" s="26" t="s">
        <v>616</v>
      </c>
      <c r="B87" s="27">
        <v>970000</v>
      </c>
      <c r="C87" s="27">
        <v>940000</v>
      </c>
      <c r="D87" s="27">
        <v>700000</v>
      </c>
    </row>
    <row r="88" spans="1:4" ht="15" x14ac:dyDescent="0.25">
      <c r="A88" s="26" t="s">
        <v>617</v>
      </c>
      <c r="B88" s="27">
        <v>30000</v>
      </c>
      <c r="C88" s="27">
        <v>0</v>
      </c>
      <c r="D88" s="27">
        <v>0</v>
      </c>
    </row>
    <row r="89" spans="1:4" ht="15" x14ac:dyDescent="0.25">
      <c r="A89" s="26" t="s">
        <v>618</v>
      </c>
      <c r="B89" s="27">
        <v>40000</v>
      </c>
      <c r="C89" s="27">
        <v>45000</v>
      </c>
      <c r="D89" s="27">
        <v>70000</v>
      </c>
    </row>
    <row r="90" spans="1:4" ht="15" x14ac:dyDescent="0.25">
      <c r="A90" s="26" t="s">
        <v>619</v>
      </c>
      <c r="B90" s="27">
        <v>90000</v>
      </c>
      <c r="C90" s="27">
        <v>40000</v>
      </c>
      <c r="D90" s="27">
        <v>0</v>
      </c>
    </row>
    <row r="91" spans="1:4" ht="15" x14ac:dyDescent="0.25">
      <c r="A91" s="26" t="s">
        <v>620</v>
      </c>
      <c r="B91" s="27">
        <v>0</v>
      </c>
      <c r="C91" s="27">
        <v>110000</v>
      </c>
      <c r="D91" s="27">
        <v>120000</v>
      </c>
    </row>
    <row r="92" spans="1:4" ht="15" x14ac:dyDescent="0.25">
      <c r="A92" s="26" t="s">
        <v>621</v>
      </c>
      <c r="B92" s="27">
        <v>80000</v>
      </c>
      <c r="C92" s="27">
        <v>120000</v>
      </c>
      <c r="D92" s="27">
        <v>60000</v>
      </c>
    </row>
    <row r="93" spans="1:4" ht="15" x14ac:dyDescent="0.25">
      <c r="A93" s="26" t="s">
        <v>622</v>
      </c>
      <c r="B93" s="27">
        <v>16600</v>
      </c>
      <c r="C93" s="27">
        <v>0</v>
      </c>
      <c r="D93" s="27">
        <v>0</v>
      </c>
    </row>
    <row r="94" spans="1:4" ht="15" x14ac:dyDescent="0.25">
      <c r="A94" s="26" t="s">
        <v>623</v>
      </c>
      <c r="B94" s="27">
        <v>2380000</v>
      </c>
      <c r="C94" s="27">
        <v>2760000</v>
      </c>
      <c r="D94" s="27">
        <v>2780000</v>
      </c>
    </row>
    <row r="95" spans="1:4" ht="15" x14ac:dyDescent="0.25">
      <c r="A95" s="26" t="s">
        <v>624</v>
      </c>
      <c r="B95" s="27">
        <v>120000</v>
      </c>
      <c r="C95" s="27">
        <v>0</v>
      </c>
      <c r="D95" s="27">
        <v>0</v>
      </c>
    </row>
    <row r="96" spans="1:4" ht="15" x14ac:dyDescent="0.25">
      <c r="A96" s="26" t="s">
        <v>625</v>
      </c>
      <c r="B96" s="27">
        <v>40000</v>
      </c>
      <c r="C96" s="27">
        <v>10000</v>
      </c>
      <c r="D96" s="27">
        <v>0</v>
      </c>
    </row>
    <row r="97" spans="1:4" ht="15" x14ac:dyDescent="0.25">
      <c r="A97" s="26" t="s">
        <v>626</v>
      </c>
      <c r="B97" s="27">
        <v>80000</v>
      </c>
      <c r="C97" s="27">
        <v>80000</v>
      </c>
      <c r="D97" s="27">
        <v>50000</v>
      </c>
    </row>
    <row r="98" spans="1:4" ht="15" x14ac:dyDescent="0.25">
      <c r="A98" s="26" t="s">
        <v>627</v>
      </c>
      <c r="B98" s="27">
        <v>30000</v>
      </c>
      <c r="C98" s="27">
        <v>0</v>
      </c>
      <c r="D98" s="27">
        <v>0</v>
      </c>
    </row>
    <row r="99" spans="1:4" ht="15" x14ac:dyDescent="0.25">
      <c r="A99" s="26" t="s">
        <v>628</v>
      </c>
      <c r="B99" s="27">
        <v>15000</v>
      </c>
      <c r="C99" s="27">
        <v>0</v>
      </c>
      <c r="D99" s="27">
        <v>0</v>
      </c>
    </row>
    <row r="100" spans="1:4" ht="15" x14ac:dyDescent="0.25">
      <c r="A100" s="26" t="s">
        <v>629</v>
      </c>
      <c r="B100" s="27">
        <v>0</v>
      </c>
      <c r="C100" s="27">
        <v>0</v>
      </c>
      <c r="D100" s="27">
        <v>0</v>
      </c>
    </row>
    <row r="101" spans="1:4" ht="30" x14ac:dyDescent="0.25">
      <c r="A101" s="26" t="s">
        <v>630</v>
      </c>
      <c r="B101" s="27">
        <v>20000</v>
      </c>
      <c r="C101" s="27">
        <v>50000</v>
      </c>
      <c r="D101" s="27">
        <v>80000</v>
      </c>
    </row>
    <row r="102" spans="1:4" ht="15" x14ac:dyDescent="0.25">
      <c r="A102" s="26" t="s">
        <v>631</v>
      </c>
      <c r="B102" s="27">
        <v>120000</v>
      </c>
      <c r="C102" s="27">
        <v>120000</v>
      </c>
      <c r="D102" s="27">
        <v>60000</v>
      </c>
    </row>
    <row r="103" spans="1:4" ht="15" x14ac:dyDescent="0.25">
      <c r="A103" s="26" t="s">
        <v>632</v>
      </c>
      <c r="B103" s="27">
        <v>0</v>
      </c>
      <c r="C103" s="27">
        <v>0</v>
      </c>
      <c r="D103" s="27">
        <v>0</v>
      </c>
    </row>
    <row r="104" spans="1:4" ht="15" x14ac:dyDescent="0.25">
      <c r="A104" s="26" t="s">
        <v>401</v>
      </c>
      <c r="B104" s="27">
        <v>6195670</v>
      </c>
      <c r="C104" s="27">
        <v>6578000</v>
      </c>
      <c r="D104" s="27">
        <v>6739136</v>
      </c>
    </row>
    <row r="105" spans="1:4" ht="15" x14ac:dyDescent="0.25">
      <c r="A105" s="26" t="s">
        <v>633</v>
      </c>
      <c r="B105" s="27">
        <v>0</v>
      </c>
      <c r="C105" s="27">
        <v>0</v>
      </c>
      <c r="D105" s="27">
        <v>175000</v>
      </c>
    </row>
    <row r="106" spans="1:4" ht="15" x14ac:dyDescent="0.25">
      <c r="A106" s="26" t="s">
        <v>634</v>
      </c>
      <c r="B106" s="27">
        <v>0</v>
      </c>
      <c r="C106" s="27">
        <v>60000</v>
      </c>
      <c r="D106" s="27">
        <v>214000</v>
      </c>
    </row>
    <row r="107" spans="1:4" ht="15" x14ac:dyDescent="0.25">
      <c r="A107" s="26" t="s">
        <v>635</v>
      </c>
      <c r="B107" s="27">
        <v>0</v>
      </c>
      <c r="C107" s="27">
        <v>160000</v>
      </c>
      <c r="D107" s="27">
        <v>30000</v>
      </c>
    </row>
    <row r="108" spans="1:4" ht="15" x14ac:dyDescent="0.25">
      <c r="A108" s="26" t="s">
        <v>636</v>
      </c>
      <c r="B108" s="27">
        <v>0</v>
      </c>
      <c r="C108" s="27">
        <v>40000</v>
      </c>
      <c r="D108" s="27">
        <v>40000</v>
      </c>
    </row>
    <row r="109" spans="1:4" ht="15" x14ac:dyDescent="0.25">
      <c r="A109" s="26" t="s">
        <v>637</v>
      </c>
      <c r="B109" s="27">
        <v>763051</v>
      </c>
      <c r="C109" s="27">
        <v>876953</v>
      </c>
      <c r="D109" s="27">
        <v>863003</v>
      </c>
    </row>
    <row r="110" spans="1:4" ht="15" x14ac:dyDescent="0.25">
      <c r="A110" s="26" t="s">
        <v>638</v>
      </c>
      <c r="B110" s="27">
        <v>120839</v>
      </c>
      <c r="C110" s="27">
        <v>120206</v>
      </c>
      <c r="D110" s="27">
        <v>70062</v>
      </c>
    </row>
    <row r="111" spans="1:4" ht="15" x14ac:dyDescent="0.25">
      <c r="A111" s="26" t="s">
        <v>639</v>
      </c>
      <c r="B111" s="27">
        <v>40000</v>
      </c>
      <c r="C111" s="27">
        <v>0</v>
      </c>
      <c r="D111" s="27">
        <v>0</v>
      </c>
    </row>
    <row r="112" spans="1:4" ht="15" x14ac:dyDescent="0.25">
      <c r="A112" s="26" t="s">
        <v>640</v>
      </c>
      <c r="B112" s="27">
        <v>450000</v>
      </c>
      <c r="C112" s="27">
        <v>520000</v>
      </c>
      <c r="D112" s="27">
        <v>748750</v>
      </c>
    </row>
    <row r="113" spans="1:4" ht="15" x14ac:dyDescent="0.25">
      <c r="A113" s="26" t="s">
        <v>641</v>
      </c>
      <c r="B113" s="27">
        <v>60000</v>
      </c>
      <c r="C113" s="27">
        <v>0</v>
      </c>
      <c r="D113" s="27">
        <v>30000</v>
      </c>
    </row>
    <row r="114" spans="1:4" ht="15" x14ac:dyDescent="0.25">
      <c r="A114" s="26" t="s">
        <v>642</v>
      </c>
      <c r="B114" s="27">
        <v>30000</v>
      </c>
      <c r="C114" s="27">
        <v>0</v>
      </c>
      <c r="D114" s="27">
        <v>0</v>
      </c>
    </row>
    <row r="115" spans="1:4" ht="30" x14ac:dyDescent="0.25">
      <c r="A115" s="26" t="s">
        <v>643</v>
      </c>
      <c r="B115" s="27">
        <v>72000</v>
      </c>
      <c r="C115" s="27">
        <v>36000</v>
      </c>
      <c r="D115" s="27">
        <v>36000</v>
      </c>
    </row>
    <row r="116" spans="1:4" ht="15" x14ac:dyDescent="0.25">
      <c r="A116" s="26" t="s">
        <v>210</v>
      </c>
      <c r="B116" s="27">
        <v>7969516</v>
      </c>
      <c r="C116" s="27">
        <v>5481267</v>
      </c>
      <c r="D116" s="27">
        <v>5485506</v>
      </c>
    </row>
    <row r="117" spans="1:4" ht="15" x14ac:dyDescent="0.25">
      <c r="A117" s="26" t="s">
        <v>644</v>
      </c>
      <c r="B117" s="27">
        <v>130000</v>
      </c>
      <c r="C117" s="27">
        <v>180000</v>
      </c>
      <c r="D117" s="27">
        <v>100000</v>
      </c>
    </row>
    <row r="118" spans="1:4" ht="15" x14ac:dyDescent="0.25">
      <c r="A118" s="26" t="s">
        <v>645</v>
      </c>
      <c r="B118" s="27">
        <v>180000</v>
      </c>
      <c r="C118" s="27">
        <v>0</v>
      </c>
      <c r="D118" s="27">
        <v>0</v>
      </c>
    </row>
    <row r="119" spans="1:4" ht="15" x14ac:dyDescent="0.25">
      <c r="A119" s="26" t="s">
        <v>646</v>
      </c>
      <c r="B119" s="27">
        <v>27000</v>
      </c>
      <c r="C119" s="27">
        <v>42200</v>
      </c>
      <c r="D119" s="27">
        <v>36000</v>
      </c>
    </row>
    <row r="120" spans="1:4" ht="15" x14ac:dyDescent="0.25">
      <c r="A120" s="26" t="s">
        <v>647</v>
      </c>
      <c r="B120" s="27">
        <v>20000</v>
      </c>
      <c r="C120" s="27">
        <v>0</v>
      </c>
      <c r="D120" s="27">
        <v>0</v>
      </c>
    </row>
    <row r="121" spans="1:4" ht="15" x14ac:dyDescent="0.25">
      <c r="A121" s="26" t="s">
        <v>648</v>
      </c>
      <c r="B121" s="27">
        <v>260000</v>
      </c>
      <c r="C121" s="27">
        <v>90000</v>
      </c>
      <c r="D121" s="27">
        <v>0</v>
      </c>
    </row>
    <row r="122" spans="1:4" ht="30" x14ac:dyDescent="0.25">
      <c r="A122" s="26" t="s">
        <v>649</v>
      </c>
      <c r="B122" s="27">
        <v>200000</v>
      </c>
      <c r="C122" s="27">
        <v>140000</v>
      </c>
      <c r="D122" s="27">
        <v>0</v>
      </c>
    </row>
    <row r="123" spans="1:4" ht="30" x14ac:dyDescent="0.25">
      <c r="A123" s="26" t="s">
        <v>650</v>
      </c>
      <c r="B123" s="27">
        <v>120000</v>
      </c>
      <c r="C123" s="27">
        <v>120000</v>
      </c>
      <c r="D123" s="27">
        <v>0</v>
      </c>
    </row>
    <row r="124" spans="1:4" ht="15" x14ac:dyDescent="0.25">
      <c r="A124" s="26" t="s">
        <v>651</v>
      </c>
      <c r="B124" s="27">
        <v>0</v>
      </c>
      <c r="C124" s="27">
        <v>0</v>
      </c>
      <c r="D124" s="27">
        <v>0</v>
      </c>
    </row>
    <row r="125" spans="1:4" ht="15" x14ac:dyDescent="0.25">
      <c r="A125" s="26" t="s">
        <v>652</v>
      </c>
      <c r="B125" s="27">
        <v>15000</v>
      </c>
      <c r="C125" s="27">
        <v>137500</v>
      </c>
      <c r="D125" s="27">
        <v>0</v>
      </c>
    </row>
    <row r="126" spans="1:4" ht="15" x14ac:dyDescent="0.25">
      <c r="A126" s="26" t="s">
        <v>653</v>
      </c>
      <c r="B126" s="27">
        <v>2950000</v>
      </c>
      <c r="C126" s="27">
        <v>1980000</v>
      </c>
      <c r="D126" s="27">
        <v>920000</v>
      </c>
    </row>
    <row r="127" spans="1:4" ht="15" x14ac:dyDescent="0.25">
      <c r="A127" s="26" t="s">
        <v>654</v>
      </c>
      <c r="B127" s="27">
        <v>0</v>
      </c>
      <c r="C127" s="27">
        <v>0</v>
      </c>
      <c r="D127" s="27">
        <v>50000</v>
      </c>
    </row>
    <row r="128" spans="1:4" ht="15" x14ac:dyDescent="0.25">
      <c r="A128" s="26" t="s">
        <v>655</v>
      </c>
      <c r="B128" s="27">
        <v>60000</v>
      </c>
      <c r="C128" s="27">
        <v>0</v>
      </c>
      <c r="D128" s="27">
        <v>72000</v>
      </c>
    </row>
    <row r="129" spans="1:4" ht="15" x14ac:dyDescent="0.25">
      <c r="A129" s="26" t="s">
        <v>656</v>
      </c>
      <c r="B129" s="27">
        <v>190000</v>
      </c>
      <c r="C129" s="27">
        <v>172000</v>
      </c>
      <c r="D129" s="27">
        <v>90000</v>
      </c>
    </row>
    <row r="130" spans="1:4" ht="15" x14ac:dyDescent="0.25">
      <c r="A130" s="26" t="s">
        <v>657</v>
      </c>
      <c r="B130" s="27">
        <v>160000</v>
      </c>
      <c r="C130" s="27">
        <v>0</v>
      </c>
      <c r="D130" s="27">
        <v>0</v>
      </c>
    </row>
    <row r="131" spans="1:4" ht="30" x14ac:dyDescent="0.25">
      <c r="A131" s="26" t="s">
        <v>658</v>
      </c>
      <c r="B131" s="27">
        <v>10000</v>
      </c>
      <c r="C131" s="27">
        <v>0</v>
      </c>
      <c r="D131" s="27">
        <v>0</v>
      </c>
    </row>
    <row r="132" spans="1:4" ht="15" x14ac:dyDescent="0.25">
      <c r="A132" s="26" t="s">
        <v>659</v>
      </c>
      <c r="B132" s="27">
        <v>0</v>
      </c>
      <c r="C132" s="27">
        <v>0</v>
      </c>
      <c r="D132" s="27">
        <v>120000</v>
      </c>
    </row>
    <row r="133" spans="1:4" ht="15" x14ac:dyDescent="0.25">
      <c r="A133" s="26" t="s">
        <v>660</v>
      </c>
      <c r="B133" s="27">
        <v>10000</v>
      </c>
      <c r="C133" s="27">
        <v>0</v>
      </c>
      <c r="D133" s="27">
        <v>40000</v>
      </c>
    </row>
    <row r="134" spans="1:4" ht="15" x14ac:dyDescent="0.25">
      <c r="A134" s="26" t="s">
        <v>661</v>
      </c>
      <c r="B134" s="27">
        <v>0</v>
      </c>
      <c r="C134" s="27">
        <v>0</v>
      </c>
      <c r="D134" s="27">
        <v>0</v>
      </c>
    </row>
    <row r="135" spans="1:4" ht="15" x14ac:dyDescent="0.25">
      <c r="A135" s="26" t="s">
        <v>662</v>
      </c>
      <c r="B135" s="27">
        <v>110000</v>
      </c>
      <c r="C135" s="27">
        <v>200000</v>
      </c>
      <c r="D135" s="27">
        <v>200000</v>
      </c>
    </row>
    <row r="136" spans="1:4" ht="15" x14ac:dyDescent="0.25">
      <c r="A136" s="26" t="s">
        <v>663</v>
      </c>
      <c r="B136" s="27">
        <v>70000</v>
      </c>
      <c r="C136" s="27">
        <v>120000</v>
      </c>
      <c r="D136" s="27">
        <v>0</v>
      </c>
    </row>
    <row r="137" spans="1:4" ht="15" x14ac:dyDescent="0.25">
      <c r="A137" s="26" t="s">
        <v>664</v>
      </c>
      <c r="B137" s="27">
        <v>30000</v>
      </c>
      <c r="C137" s="27">
        <v>0</v>
      </c>
      <c r="D137" s="27">
        <v>0</v>
      </c>
    </row>
    <row r="138" spans="1:4" ht="15" x14ac:dyDescent="0.25">
      <c r="A138" s="26" t="s">
        <v>665</v>
      </c>
      <c r="B138" s="27">
        <v>0</v>
      </c>
      <c r="C138" s="27">
        <v>0</v>
      </c>
      <c r="D138" s="27">
        <v>0</v>
      </c>
    </row>
    <row r="139" spans="1:4" ht="15" x14ac:dyDescent="0.25">
      <c r="A139" s="26" t="s">
        <v>666</v>
      </c>
      <c r="B139" s="27">
        <v>0</v>
      </c>
      <c r="C139" s="27">
        <v>0</v>
      </c>
      <c r="D139" s="27">
        <v>180000</v>
      </c>
    </row>
    <row r="140" spans="1:4" ht="15" x14ac:dyDescent="0.25">
      <c r="A140" s="26" t="s">
        <v>667</v>
      </c>
      <c r="B140" s="27">
        <v>130000</v>
      </c>
      <c r="C140" s="27">
        <v>115000</v>
      </c>
      <c r="D140" s="27">
        <v>0</v>
      </c>
    </row>
    <row r="141" spans="1:4" ht="15" x14ac:dyDescent="0.25">
      <c r="A141" s="26" t="s">
        <v>668</v>
      </c>
      <c r="B141" s="27">
        <v>40000</v>
      </c>
      <c r="C141" s="27">
        <v>60000</v>
      </c>
      <c r="D141" s="27">
        <v>0</v>
      </c>
    </row>
    <row r="142" spans="1:4" ht="15" x14ac:dyDescent="0.25">
      <c r="A142" s="26" t="s">
        <v>669</v>
      </c>
      <c r="B142" s="27">
        <v>50000</v>
      </c>
      <c r="C142" s="27">
        <v>30000</v>
      </c>
      <c r="D142" s="27">
        <v>50000</v>
      </c>
    </row>
    <row r="143" spans="1:4" ht="15" x14ac:dyDescent="0.25">
      <c r="A143" s="26" t="s">
        <v>670</v>
      </c>
      <c r="B143" s="27">
        <v>0</v>
      </c>
      <c r="C143" s="27">
        <v>60000</v>
      </c>
      <c r="D143" s="27">
        <v>0</v>
      </c>
    </row>
    <row r="144" spans="1:4" ht="15" x14ac:dyDescent="0.25">
      <c r="A144" s="26" t="s">
        <v>671</v>
      </c>
      <c r="B144" s="27">
        <v>40000</v>
      </c>
      <c r="C144" s="27">
        <v>0</v>
      </c>
      <c r="D144" s="27">
        <v>0</v>
      </c>
    </row>
    <row r="145" spans="1:4" ht="15" x14ac:dyDescent="0.25">
      <c r="A145" s="26" t="s">
        <v>672</v>
      </c>
      <c r="B145" s="27">
        <v>0</v>
      </c>
      <c r="C145" s="27">
        <v>0</v>
      </c>
      <c r="D145" s="27">
        <v>0</v>
      </c>
    </row>
    <row r="146" spans="1:4" ht="15" x14ac:dyDescent="0.25">
      <c r="A146" s="26" t="s">
        <v>673</v>
      </c>
      <c r="B146" s="27">
        <v>40000</v>
      </c>
      <c r="C146" s="27">
        <v>0</v>
      </c>
      <c r="D146" s="27">
        <v>0</v>
      </c>
    </row>
    <row r="147" spans="1:4" ht="15" x14ac:dyDescent="0.25">
      <c r="A147" s="26" t="s">
        <v>674</v>
      </c>
      <c r="B147" s="27">
        <v>0</v>
      </c>
      <c r="C147" s="27">
        <v>0</v>
      </c>
      <c r="D147" s="27">
        <v>0</v>
      </c>
    </row>
    <row r="148" spans="1:4" ht="15" x14ac:dyDescent="0.25">
      <c r="A148" s="26" t="s">
        <v>675</v>
      </c>
      <c r="B148" s="27">
        <v>0</v>
      </c>
      <c r="C148" s="27">
        <v>30000</v>
      </c>
      <c r="D148" s="27">
        <v>0</v>
      </c>
    </row>
    <row r="149" spans="1:4" ht="15" x14ac:dyDescent="0.25">
      <c r="A149" s="26" t="s">
        <v>676</v>
      </c>
      <c r="B149" s="27">
        <v>60000</v>
      </c>
      <c r="C149" s="27">
        <v>99000</v>
      </c>
      <c r="D149" s="27">
        <v>20000</v>
      </c>
    </row>
    <row r="150" spans="1:4" ht="15" x14ac:dyDescent="0.25">
      <c r="A150" s="26" t="s">
        <v>677</v>
      </c>
      <c r="B150" s="27">
        <v>0</v>
      </c>
      <c r="C150" s="27">
        <v>30000</v>
      </c>
      <c r="D150" s="27">
        <v>160000</v>
      </c>
    </row>
    <row r="151" spans="1:4" ht="15" x14ac:dyDescent="0.25">
      <c r="A151" s="26" t="s">
        <v>678</v>
      </c>
      <c r="B151" s="27">
        <v>5000</v>
      </c>
      <c r="C151" s="27">
        <v>0</v>
      </c>
      <c r="D151" s="27">
        <v>0</v>
      </c>
    </row>
    <row r="153" spans="1:4" x14ac:dyDescent="0.2">
      <c r="A153" s="1" t="s">
        <v>679</v>
      </c>
      <c r="B153" s="10">
        <f>SUM(B2:B151)</f>
        <v>44827876</v>
      </c>
      <c r="C153" s="10">
        <f>SUM(C2:C151)</f>
        <v>42064126</v>
      </c>
      <c r="D153" s="10">
        <f>SUM(D2:D151)</f>
        <v>39481997</v>
      </c>
    </row>
    <row r="155" spans="1:4" x14ac:dyDescent="0.2">
      <c r="A155" s="1" t="s">
        <v>680</v>
      </c>
      <c r="B155" s="10">
        <f>B153+C153+D153</f>
        <v>126373999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 campaign contributions</vt:lpstr>
      <vt:lpstr>Top Donors - Pharma and Device</vt:lpstr>
      <vt:lpstr>Top Donors - Biotech</vt:lpstr>
      <vt:lpstr>Lobbying - Pharma and Device</vt:lpstr>
      <vt:lpstr>Lobbying - Biotech</vt:lpstr>
      <vt:lpstr>dbo_temp_request_ucs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sbryner</dc:creator>
  <cp:lastModifiedBy>bulldog</cp:lastModifiedBy>
  <cp:lastPrinted>2012-03-21T19:37:07Z</cp:lastPrinted>
  <dcterms:created xsi:type="dcterms:W3CDTF">2012-03-02T19:37:09Z</dcterms:created>
  <dcterms:modified xsi:type="dcterms:W3CDTF">2012-03-28T21:01:48Z</dcterms:modified>
</cp:coreProperties>
</file>